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8" windowWidth="10056" windowHeight="11340" activeTab="0"/>
  </bookViews>
  <sheets>
    <sheet name="2 додаток" sheetId="1" r:id="rId1"/>
  </sheets>
  <definedNames>
    <definedName name="_xlnm.Print_Titles" localSheetId="0">'2 додаток'!$9:$13</definedName>
    <definedName name="_xlnm.Print_Area" localSheetId="0">'2 додаток'!$C$1:$V$377</definedName>
  </definedNames>
  <calcPr fullCalcOnLoad="1"/>
</workbook>
</file>

<file path=xl/sharedStrings.xml><?xml version="1.0" encoding="utf-8"?>
<sst xmlns="http://schemas.openxmlformats.org/spreadsheetml/2006/main" count="727" uniqueCount="524">
  <si>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</si>
  <si>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</si>
  <si>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</si>
  <si>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</si>
  <si>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</si>
  <si>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</si>
  <si>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</si>
  <si>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</si>
  <si>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</si>
  <si>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</si>
  <si>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</si>
  <si>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</si>
  <si>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</si>
  <si>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</si>
  <si>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</si>
  <si>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</si>
  <si>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</si>
  <si>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</si>
  <si>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</si>
  <si>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</si>
  <si>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</si>
  <si>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</si>
  <si>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</si>
  <si>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</si>
  <si>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</si>
  <si>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</si>
  <si>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</si>
  <si>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</si>
  <si>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</si>
  <si>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</si>
  <si>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</si>
  <si>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</si>
  <si>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</si>
  <si>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</si>
  <si>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</si>
  <si>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</si>
  <si>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</si>
  <si>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</si>
  <si>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</si>
  <si>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</si>
  <si>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</si>
  <si>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</si>
  <si>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</si>
  <si>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</si>
  <si>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</si>
  <si>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1030</t>
  </si>
  <si>
    <t>3035</t>
  </si>
  <si>
    <t xml:space="preserve"> - міська комплексна програма "Турбота" на 2013 - 2017 роки</t>
  </si>
  <si>
    <t>3050</t>
  </si>
  <si>
    <t>3090</t>
  </si>
  <si>
    <t>3104</t>
  </si>
  <si>
    <t>3180</t>
  </si>
  <si>
    <t>1050</t>
  </si>
  <si>
    <t>3112</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</si>
  <si>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</si>
  <si>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</si>
  <si>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</si>
  <si>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</si>
  <si>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</si>
  <si>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</si>
  <si>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</si>
  <si>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</si>
  <si>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</si>
  <si>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</si>
  <si>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</si>
  <si>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</si>
  <si>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</si>
  <si>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</si>
  <si>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</si>
  <si>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</si>
  <si>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</si>
  <si>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</si>
  <si>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</si>
  <si>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</si>
  <si>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</si>
  <si>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</si>
  <si>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</si>
  <si>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</si>
  <si>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</si>
  <si>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</si>
  <si>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</si>
  <si>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</si>
  <si>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</si>
  <si>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</si>
  <si>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</si>
  <si>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</si>
  <si>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</si>
  <si>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</si>
  <si>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утримання комунального закладу "Територіальний центр соціального обслуговування (надання соціальних послуг) м.Южноукраїнськ</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</si>
  <si>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</si>
  <si>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</si>
  <si>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</si>
  <si>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</si>
  <si>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</si>
  <si>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</si>
  <si>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</si>
  <si>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</si>
  <si>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</si>
  <si>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</si>
  <si>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</si>
  <si>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</si>
  <si>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</si>
  <si>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</si>
  <si>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</si>
  <si>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</si>
  <si>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</si>
  <si>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</si>
  <si>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</si>
  <si>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</si>
  <si>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</si>
  <si>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</si>
  <si>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</si>
  <si>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</si>
  <si>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</si>
  <si>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</si>
  <si>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</si>
  <si>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</si>
  <si>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</si>
  <si>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</si>
  <si>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</si>
  <si>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</si>
  <si>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0812010</t>
  </si>
  <si>
    <t>2141</t>
  </si>
  <si>
    <t>2142</t>
  </si>
  <si>
    <t>2143</t>
  </si>
  <si>
    <t>Централізовані заходи з лікування хворих на цукровий та нецукровий діабет- всього, в тому числі:</t>
  </si>
  <si>
    <t>2144</t>
  </si>
  <si>
    <t>2145</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</si>
  <si>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</si>
  <si>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</si>
  <si>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</si>
  <si>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</si>
  <si>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</si>
  <si>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</si>
  <si>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</si>
  <si>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</si>
  <si>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</si>
  <si>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</si>
  <si>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</si>
  <si>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</si>
  <si>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</si>
  <si>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</si>
  <si>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</si>
  <si>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</si>
  <si>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</si>
  <si>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</si>
  <si>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</si>
  <si>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</si>
  <si>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</si>
  <si>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</si>
  <si>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</si>
  <si>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</si>
  <si>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</si>
  <si>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</si>
  <si>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</si>
  <si>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</si>
  <si>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</si>
  <si>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</si>
  <si>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</si>
  <si>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</si>
  <si>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</si>
  <si>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</si>
  <si>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</si>
  <si>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</si>
  <si>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</si>
  <si>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</si>
  <si>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</si>
  <si>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</si>
  <si>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</si>
  <si>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</si>
  <si>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</si>
  <si>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</si>
  <si>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</si>
  <si>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</si>
  <si>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</si>
  <si>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</si>
  <si>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</si>
  <si>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</si>
  <si>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</si>
  <si>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</si>
  <si>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</si>
  <si>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</si>
  <si>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</si>
  <si>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</si>
  <si>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</si>
  <si>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</si>
  <si>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</si>
  <si>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</si>
  <si>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</si>
  <si>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</si>
  <si>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</si>
  <si>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</si>
  <si>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</si>
  <si>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</si>
  <si>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</si>
  <si>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</si>
  <si>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</si>
  <si>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</si>
  <si>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</si>
  <si>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</si>
  <si>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</si>
  <si>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</si>
  <si>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</si>
  <si>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</si>
  <si>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</si>
  <si>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</si>
  <si>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</si>
  <si>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</si>
  <si>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</si>
  <si>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</si>
  <si>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</si>
  <si>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</si>
  <si>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</si>
  <si>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</si>
  <si>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</si>
  <si>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</si>
  <si>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</si>
  <si>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</si>
  <si>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</si>
  <si>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</si>
  <si>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</si>
  <si>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</si>
  <si>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</si>
  <si>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3718700</t>
  </si>
  <si>
    <t>3719110</t>
  </si>
  <si>
    <t>9110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</si>
  <si>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</si>
  <si>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</si>
  <si>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</si>
  <si>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</si>
  <si>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</si>
  <si>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</si>
  <si>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</si>
  <si>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</si>
  <si>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</si>
  <si>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</si>
  <si>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0812152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</si>
  <si>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</si>
  <si>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</si>
  <si>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</si>
  <si>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</si>
  <si>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</si>
  <si>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</si>
  <si>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</si>
  <si>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</si>
  <si>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</si>
  <si>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</si>
  <si>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</si>
  <si>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</si>
  <si>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</si>
  <si>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</si>
  <si>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</si>
  <si>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</si>
  <si>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</si>
  <si>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</si>
  <si>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</si>
  <si>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</si>
  <si>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</si>
  <si>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</si>
  <si>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</si>
  <si>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</si>
  <si>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</si>
  <si>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</si>
  <si>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</si>
  <si>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</si>
  <si>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</si>
  <si>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</si>
  <si>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</si>
  <si>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</si>
  <si>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</si>
  <si>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</si>
  <si>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</si>
  <si>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3192</t>
  </si>
  <si>
    <t>0813242</t>
  </si>
  <si>
    <t>Інші заходи у сфері соціального захисту і соціального забезпечення</t>
  </si>
  <si>
    <t>0813121</t>
  </si>
  <si>
    <t>2152</t>
  </si>
  <si>
    <t>0200000</t>
  </si>
  <si>
    <t>0210000</t>
  </si>
  <si>
    <t>0210150</t>
  </si>
  <si>
    <t xml:space="preserve"> - надання допомоги дітям-сиротам та дітям, позбавленим батьківського піклування, яким виповнюється 18 років</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</si>
  <si>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</si>
  <si>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</si>
  <si>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</si>
  <si>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</si>
  <si>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</si>
  <si>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</si>
  <si>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</si>
  <si>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</si>
  <si>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</si>
  <si>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</si>
  <si>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</si>
  <si>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</si>
  <si>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</si>
  <si>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</si>
  <si>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</si>
  <si>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</si>
  <si>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</si>
  <si>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</si>
  <si>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</si>
  <si>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</si>
  <si>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</si>
  <si>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</si>
  <si>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</si>
  <si>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</si>
  <si>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</si>
  <si>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</si>
  <si>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</si>
  <si>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</si>
  <si>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1216011</t>
  </si>
  <si>
    <t>1216012</t>
  </si>
  <si>
    <t>1216013</t>
  </si>
  <si>
    <t>1216014</t>
  </si>
  <si>
    <t>1216015</t>
  </si>
  <si>
    <t>1216016</t>
  </si>
  <si>
    <t>1216017</t>
  </si>
  <si>
    <t>1217321</t>
  </si>
  <si>
    <t>1217370</t>
  </si>
  <si>
    <t>1217461</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</si>
  <si>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</si>
  <si>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</si>
  <si>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</si>
  <si>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</si>
  <si>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</si>
  <si>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</si>
  <si>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</si>
  <si>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</si>
  <si>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</si>
  <si>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</si>
  <si>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</si>
  <si>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</si>
  <si>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</si>
  <si>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</si>
  <si>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</si>
  <si>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</si>
  <si>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</si>
  <si>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</si>
  <si>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</si>
  <si>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</si>
  <si>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</si>
  <si>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</si>
  <si>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</si>
  <si>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</si>
  <si>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</si>
  <si>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</si>
  <si>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</si>
  <si>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 xml:space="preserve"> - міська програма розвитку  дорожнього руху та його безпеки в місті Южноукраїнську  на 2018-2022 роки</t>
  </si>
  <si>
    <t xml:space="preserve"> - міська програма  "Фонд міської ради на виконання депутатських повноважень" на 2018-2020 рік </t>
  </si>
  <si>
    <t>1217322</t>
  </si>
  <si>
    <t>7322</t>
  </si>
  <si>
    <t>Будівництво медичних установ та закладів</t>
  </si>
  <si>
    <t xml:space="preserve"> - міська програма щодо організації мобілізаційної роботи та територіальної оборони в м.Южноукраїнську на 2018-2021роки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</si>
  <si>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</si>
  <si>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</si>
  <si>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</si>
  <si>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</si>
  <si>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</si>
  <si>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0217610</t>
  </si>
  <si>
    <t xml:space="preserve"> - міська програма «Охорона здоров`я в місті Южноукраїнську» на 2017-2022 роки в частині надання паліативної та хоспісної допомоги</t>
  </si>
  <si>
    <t>Загальний фонд</t>
  </si>
  <si>
    <t>Спеціальний фонд</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</si>
  <si>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</si>
  <si>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</si>
  <si>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</si>
  <si>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</si>
  <si>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</si>
  <si>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</si>
  <si>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</si>
  <si>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Департамент соціальних питань та охорони здоров'я Южноукраїнської міської ради </t>
  </si>
  <si>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</si>
  <si>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</si>
  <si>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</si>
  <si>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</si>
  <si>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</si>
  <si>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</si>
  <si>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</si>
  <si>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1017622</t>
  </si>
  <si>
    <t>7622</t>
  </si>
  <si>
    <t>0470</t>
  </si>
  <si>
    <t>Реалізація програм і заходів туризму та курортів</t>
  </si>
  <si>
    <t>0913111</t>
  </si>
  <si>
    <t>3111</t>
  </si>
  <si>
    <t>до рішення Южноукраїнської міської ради</t>
  </si>
  <si>
    <t xml:space="preserve"> -міська програма «Охорона здоров`я в місті Южноукраїнську» на  2017-2022 роки</t>
  </si>
  <si>
    <t>1170</t>
  </si>
  <si>
    <t>0611170</t>
  </si>
  <si>
    <t xml:space="preserve"> - міська програма інформаційної підтримки розвитку міста та діяльності органів місцевого самоврядування на 2019-2022 роки</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</si>
  <si>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</si>
  <si>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</si>
  <si>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кошти міського бюджету </t>
  </si>
  <si>
    <t xml:space="preserve"> - міська програма розвитку освіти в м.Южноукраїнську на 2016-2020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</si>
  <si>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</si>
  <si>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</si>
  <si>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</si>
  <si>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</si>
  <si>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</si>
  <si>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</si>
  <si>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</si>
  <si>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</si>
  <si>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</si>
  <si>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</si>
  <si>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</si>
  <si>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</si>
  <si>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Відсоток виконання</t>
  </si>
  <si>
    <t>Додаток №2</t>
  </si>
  <si>
    <t>15</t>
  </si>
  <si>
    <t>Відсоток   виконання</t>
  </si>
  <si>
    <t>- міська соціальна програма Підтримки учасників АТО та членів їх сімей на 2016-2020 року</t>
  </si>
  <si>
    <t>- міська програма захисту прав дітей м.Южноукраїнська "Дитинство" на 2018-2020 роки</t>
  </si>
  <si>
    <t xml:space="preserve"> - утримання та навчально-тренувальна робота комунальних дитячо-юнацьких спортивних шкіл</t>
  </si>
  <si>
    <t xml:space="preserve">Утримання закладів, що надають соціальні послуги дітям, які опинились у складних життєвих обставинах </t>
  </si>
  <si>
    <t xml:space="preserve"> - міська соціальна програма Підтримки учасників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</si>
  <si>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1217462</t>
  </si>
  <si>
    <t>7462</t>
  </si>
  <si>
    <t>з них:</t>
  </si>
  <si>
    <r>
      <t xml:space="preserve"> субвенції з місцевого бюджету на надання державної підтримки особам з особливими освітніми потребами за рахунок відповідної </t>
    </r>
    <r>
      <rPr>
        <b/>
        <i/>
        <sz val="12"/>
        <color indexed="8"/>
        <rFont val="Times New Roman"/>
        <family val="1"/>
      </rPr>
      <t>субвенції з державного бюджету</t>
    </r>
  </si>
  <si>
    <t xml:space="preserve"> - освітня субвенція з державного бюджету</t>
  </si>
  <si>
    <t xml:space="preserve"> -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</si>
  <si>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</si>
  <si>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 xml:space="preserve"> - субвенція з обласного бюджету на здійснення переданих видатків у сфері освіти за рахунок коштів освітньої субвенції </t>
  </si>
  <si>
    <r>
      <t>Департамент соціальних питань та охорони здоров'я Южноукраїнської міської ради</t>
    </r>
    <r>
      <rPr>
        <i/>
        <sz val="12"/>
        <color indexed="8"/>
        <rFont val="Times New Roman"/>
        <family val="1"/>
      </rPr>
      <t xml:space="preserve"> </t>
    </r>
  </si>
  <si>
    <t xml:space="preserve"> - медична субвенція з державного бюджету</t>
  </si>
  <si>
    <t>Програми і централізовані заходи боротьби з туберкульозом (Міська програма «Охорона здоров`я в місті Южноукраїнську» на  2017-2022 роки)</t>
  </si>
  <si>
    <t xml:space="preserve"> - субвенція з обласного бюджету на  здійснення переданих видатків у сфері охорони здоров’я за рахунок коштів медичної субвенції з державного бюджету   (за рахунок цільових видатків на  лікування хворих на цукровий та нецукровий діабет)</t>
  </si>
  <si>
    <t xml:space="preserve">Пільгове медичне обслуговування осіб, які постраждали внаслідок Чорнобильської катастрофи  (субвенція з обласного бюджету) </t>
  </si>
  <si>
    <t xml:space="preserve">Видатки на поховання учасників бойових дій та осіб з інвалідністю внаслідок війни(субвенція з обласного бюджету) </t>
  </si>
  <si>
    <t>Компенсаційні виплати особам з інвалідністю на бензин, ремонт, технічне обслуговування автомобілів, мотоколясок і на транспортне обслуговування (субвенція з обласного бюджету)</t>
  </si>
  <si>
    <t xml:space="preserve"> - субвенція з обласного бюджету</t>
  </si>
  <si>
    <t xml:space="preserve"> -  за рахунок субвенції з обласного бюджету</t>
  </si>
  <si>
    <r>
      <t xml:space="preserve"> - утримання комунального закладу "Центр соціально-психологічної реабілітації дітей"</t>
    </r>
    <r>
      <rPr>
        <b/>
        <i/>
        <sz val="12"/>
        <color indexed="8"/>
        <rFont val="Times New Roman"/>
        <family val="1"/>
      </rPr>
      <t>(субвенція з обласного бюджету)</t>
    </r>
  </si>
  <si>
    <r>
      <t>Управління молоді, спорту та культури Южноукраїнської міської ради</t>
    </r>
    <r>
      <rPr>
        <i/>
        <sz val="12"/>
        <color indexed="8"/>
        <rFont val="Times New Roman"/>
        <family val="1"/>
      </rPr>
      <t xml:space="preserve"> </t>
    </r>
  </si>
  <si>
    <r>
      <t xml:space="preserve"> -</t>
    </r>
    <r>
      <rPr>
        <b/>
        <i/>
        <sz val="12"/>
        <color indexed="8"/>
        <rFont val="Times New Roman"/>
        <family val="1"/>
      </rPr>
      <t xml:space="preserve"> субвенція с державного бюджету </t>
    </r>
    <r>
      <rPr>
        <i/>
        <sz val="12"/>
        <color indexed="8"/>
        <rFont val="Times New Roman"/>
        <family val="1"/>
      </rPr>
      <t>на фінансування заходів соціально-економічної компенсації ризику населення, яке проживає на території  зони спостереження</t>
    </r>
  </si>
  <si>
    <r>
      <rPr>
        <b/>
        <i/>
        <sz val="12"/>
        <color indexed="8"/>
        <rFont val="Times New Roman"/>
        <family val="1"/>
      </rPr>
      <t>субвенція з обласного бюджету</t>
    </r>
    <r>
      <rPr>
        <i/>
        <sz val="12"/>
        <color indexed="8"/>
        <rFont val="Times New Roman"/>
        <family val="1"/>
      </rPr>
      <t xml:space="preserve"> на розвиток спортивної інфраструктури (реконструкція спортивного майданчика під міні-футбольне поле зі штучним покриттям Южноукраїнської загальноосвітньої школи І-ІІІ ступенів №1 ім.Захисників Вітчизни по бул.Курчатова ,8 в м. Южноукраїнську Миколаївської області)</t>
    </r>
  </si>
  <si>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</si>
  <si>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r>
      <t xml:space="preserve">Управління з питань надзвичайних ситуацій та взаємодії з правоохоронними органами Южноукраїнської міської ради </t>
    </r>
    <r>
      <rPr>
        <i/>
        <sz val="12"/>
        <color indexed="8"/>
        <rFont val="Times New Roman"/>
        <family val="1"/>
      </rPr>
      <t xml:space="preserve"> </t>
    </r>
  </si>
  <si>
    <r>
      <rPr>
        <b/>
        <i/>
        <sz val="12"/>
        <color indexed="8"/>
        <rFont val="Times New Roman"/>
        <family val="1"/>
      </rPr>
      <t>Фінансове управління Южноукраїнської міської ради</t>
    </r>
    <r>
      <rPr>
        <i/>
        <sz val="12"/>
        <color indexed="8"/>
        <rFont val="Times New Roman"/>
        <family val="1"/>
      </rPr>
      <t xml:space="preserve"> </t>
    </r>
  </si>
  <si>
    <t>Код функціональної класифікації видатків та кредитування бюджету</t>
  </si>
  <si>
    <t>Код типової програмної класифікації видатків та кредитування місцевих бюджетів</t>
  </si>
  <si>
    <t>Код програмної класифікації видатків та кредитування місцевих бюджетів</t>
  </si>
  <si>
    <t>1218110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</si>
  <si>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</si>
  <si>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 xml:space="preserve">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</si>
  <si>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t xml:space="preserve">-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t>
  </si>
  <si>
    <r>
      <t xml:space="preserve">- </t>
    </r>
    <r>
      <rPr>
        <b/>
        <i/>
        <sz val="12"/>
        <color indexed="8"/>
        <rFont val="Times New Roman"/>
        <family val="1"/>
      </rPr>
      <t>субвенції з обласного бюджету</t>
    </r>
    <r>
      <rPr>
        <i/>
        <sz val="12"/>
        <color indexed="8"/>
        <rFont val="Times New Roman"/>
        <family val="1"/>
      </rPr>
      <t xml:space="preserve"> на мікропроекти</t>
    </r>
  </si>
  <si>
    <t xml:space="preserve"> - утримання комунального закладу "Дитяча школа містецтв"</t>
  </si>
  <si>
    <t>Забезпечення дільності інклюзивно-ресурсних центрів</t>
  </si>
  <si>
    <t xml:space="preserve"> - міська програма "Залучення інвестицій та поліпшення інвестиційного клімату міста Южноукраїнська на 2019-2021 роки"</t>
  </si>
  <si>
    <t xml:space="preserve"> - міська програма «Охорона здоров`я в місті Южноукраїнську» на  2017-2022 роки</t>
  </si>
  <si>
    <t xml:space="preserve">Інша діяльність </t>
  </si>
  <si>
    <t>Заходи запобігання та ліквідації надзвичайних ситуацій та наслідків стихійного лиха</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</si>
  <si>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t>
  </si>
  <si>
    <t>0818110</t>
  </si>
  <si>
    <t>0819800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</si>
  <si>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бюджету на забезпечення Южноукраїнського міськрайоного відділу лабораторних досліджень державної установи «Миколаївський обласний лабораторний центр Міністерства охорони здоров’я України» засобами медичного призначення, захисним одягом, засобами захисту органів дихання, дезінфекційними засобами)</t>
  </si>
  <si>
    <t>Міжбюджетні трансферти</t>
  </si>
  <si>
    <t xml:space="preserve"> -  за рахунок залишку коштів медичної субвенції з державного бюджету станом на 01.01.2020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</si>
  <si>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 (субвенція з міського бюджету державному на придбання захисних костюмів, масок медичних, респіраторів, безконтактних термометрів, руковичок, дезінфікуючих засобів, тощо для 25-ї ДПРЧ ДСНС України Миколаївської області та ЮУ відділення поліції Первомайського відділу ГУНП в Миколаївській обл.)</t>
  </si>
  <si>
    <t>Затверджено на 2020 рік з урахуванням змін</t>
  </si>
  <si>
    <t>Затверджено на звітний період 2020 року</t>
  </si>
  <si>
    <t>Виконано                                           за відповідний період 2020 року</t>
  </si>
  <si>
    <t>- утримання комунального закладу "Центр соціально-психологічної реабілітації дітей" (інші джерела власних надходжень)</t>
  </si>
  <si>
    <t>В тому числі видатки за рахунок субвенцій</t>
  </si>
  <si>
    <t xml:space="preserve">в тому числі за рахунок субвенцій </t>
  </si>
  <si>
    <t xml:space="preserve"> - утримання виконавчого комітету</t>
  </si>
  <si>
    <t xml:space="preserve">  -  утримання позашкільної освіти </t>
  </si>
  <si>
    <t xml:space="preserve"> - утримання управління ДСПОЗ Южноукраїнської МР</t>
  </si>
  <si>
    <t xml:space="preserve"> - утримання управління ССД Южноукраїнської МР</t>
  </si>
  <si>
    <t xml:space="preserve"> - утримання управління УМСК Южноукаїнської МР</t>
  </si>
  <si>
    <t xml:space="preserve"> - забезпечення діяльності музеїв i виставок</t>
  </si>
  <si>
    <t xml:space="preserve"> - забезпечення діяльності бібліотек</t>
  </si>
  <si>
    <t xml:space="preserve"> - забезпечення діяльності палаців i будинків культури, клубів, центрів дозвілля та iнших клубних закладів</t>
  </si>
  <si>
    <t xml:space="preserve"> - забезпечення діяльності інших закладів в галузі культури і мистецтва </t>
  </si>
  <si>
    <t xml:space="preserve"> - утримання управління ДІМГ Южноукраїнської МР</t>
  </si>
  <si>
    <t xml:space="preserve"> - утримання УЕНСЗВ Южноукраїнської МР</t>
  </si>
  <si>
    <t xml:space="preserve"> - утримання УПНСВПО Южноукраїнської МР</t>
  </si>
  <si>
    <t xml:space="preserve"> - утримання фінансового управління Южноукраїнської МР</t>
  </si>
  <si>
    <t>14205100000</t>
  </si>
  <si>
    <t>(код бюджету)</t>
  </si>
  <si>
    <t xml:space="preserve"> - утримання управління освіти</t>
  </si>
  <si>
    <t xml:space="preserve"> - залишок освітньої субвенції станом на 01.01.2020 року</t>
  </si>
  <si>
    <t xml:space="preserve">кошти міського бюджету </t>
  </si>
  <si>
    <t>-  залишок освітньої субвенції станом на 01.01.2020 року</t>
  </si>
  <si>
    <t>- інші субвенції (обласний бюджет)</t>
  </si>
  <si>
    <t xml:space="preserve"> - залишок коштів медичної субвенції з державного бюджету станом на 01.01.2020 року</t>
  </si>
  <si>
    <t xml:space="preserve"> - Міська програма «Охорона здоров`я в місті Южноукраїнську» на  2017-2022 роки</t>
  </si>
  <si>
    <t>- підтримка окремих закладів та заходів у системі охорони здоров’я за рахунок відповідної субвенції з державного бюджету</t>
  </si>
  <si>
    <t xml:space="preserve"> - міська програма «Охорона здоров`я в місті Южноукраїнську» на  2017-2022 роки в частині трансплантації органів</t>
  </si>
  <si>
    <t xml:space="preserve"> - резерв коштів на гострі непередбачені потреби міста для подальшого розподілу після погодження з постійною комісією міської ради з питань соціально-економічного і культурного розвитку, планування та обліку, підприємництва, бюджету, фінансів і цін </t>
  </si>
  <si>
    <t xml:space="preserve">В тому числі видатки за рахунок субвенцій, із них:                                                                                            </t>
  </si>
  <si>
    <t xml:space="preserve"> - міська програма «Охорона здоров`я в місті Южноукраїнську» на  2017-2022 рок в частині надання допомоги хворим з хронічно-нирковою недостатністю</t>
  </si>
  <si>
    <t xml:space="preserve">Виконання інвестиційних проектів в рамках здійснення заходів щодо соціально - економічного розвитку окремих територій </t>
  </si>
  <si>
    <t>7363</t>
  </si>
  <si>
    <t>0817363</t>
  </si>
  <si>
    <t>Цільові фонди</t>
  </si>
  <si>
    <t xml:space="preserve"> - міська Програма захисту прав дітей міста Южноукраїнська "Дитинство"на 2013-2017 рік (залишок цільового - 44685,0 грн., надх.-20047,0 грн.)</t>
  </si>
  <si>
    <t>0917691</t>
  </si>
  <si>
    <t>- міська програма "Фонд міської ради на виконання депутатських повноважень"</t>
  </si>
  <si>
    <t>0191</t>
  </si>
  <si>
    <t>Проведення місцевих виборів</t>
  </si>
  <si>
    <t>0210191</t>
  </si>
  <si>
    <t>0619770</t>
  </si>
  <si>
    <t xml:space="preserve">Інші субвенції з місцевого бюджету </t>
  </si>
  <si>
    <t xml:space="preserve"> - субвенція з міського бюджету на співфінансування  з обласним  бюджетом видатків на закупівлю комп'ютерного обладнання для початкових класів  загальної середньої освіти</t>
  </si>
  <si>
    <t>- інші субвенції з обласного бюджету (41053900)</t>
  </si>
  <si>
    <t>2151</t>
  </si>
  <si>
    <t>0812151</t>
  </si>
  <si>
    <t>Забезпечення діяльності інших закладів у сфері охорони здоров’я</t>
  </si>
  <si>
    <t xml:space="preserve"> - міська програма підтримка органу самоорганізації населення кварталу №7</t>
  </si>
  <si>
    <t>3718500</t>
  </si>
  <si>
    <t>8500</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</si>
  <si>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t>
  </si>
  <si>
    <t>.-cубвенція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</si>
  <si>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0617363</t>
  </si>
  <si>
    <t>Виконання інвестиційних проектів за рахунок субвенцій з інших бюджетів</t>
  </si>
  <si>
    <r>
      <t xml:space="preserve"> - </t>
    </r>
    <r>
      <rPr>
        <i/>
        <sz val="12"/>
        <color indexed="30"/>
        <rFont val="Times New Roman"/>
        <family val="1"/>
      </rPr>
      <t xml:space="preserve">субвенція з обласного бюджету </t>
    </r>
    <r>
      <rPr>
        <i/>
        <sz val="12"/>
        <rFont val="Times New Roman"/>
        <family val="1"/>
      </rPr>
      <t>місцевим бюджетам на здійснення заходів щодо соціально - економічного розвитку окремих територій</t>
    </r>
  </si>
  <si>
    <r>
      <t xml:space="preserve"> - </t>
    </r>
    <r>
      <rPr>
        <i/>
        <sz val="12"/>
        <color indexed="30"/>
        <rFont val="Times New Roman"/>
        <family val="1"/>
      </rPr>
      <t>субвенція з обл.бюджету</t>
    </r>
    <r>
      <rPr>
        <i/>
        <sz val="12"/>
        <rFont val="Times New Roman"/>
        <family val="1"/>
      </rPr>
      <t xml:space="preserve"> на соціально-економічний розвиток окремих територій та депутатські кошти</t>
    </r>
  </si>
  <si>
    <t>0817322</t>
  </si>
  <si>
    <t>0433</t>
  </si>
  <si>
    <t>Виконання бюджету міста Южноукраїнськ за видатками за 2020 рік</t>
  </si>
  <si>
    <t>2917364</t>
  </si>
  <si>
    <t>Утримання та розвиток автомобільних доріг та дорожньої інфраструктури за рахунок субвенції з державного бюджету</t>
  </si>
  <si>
    <t>від____________2021_№_________</t>
  </si>
  <si>
    <t xml:space="preserve">Секретар міської ради                                        </t>
  </si>
  <si>
    <t>М.О. Пелюх</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</si>
</sst>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 numFmtId="204" formatCode="_-* #,##0.0_р_._-;\-* #,##0.0_р_._-;_-* &quot;-&quot;??_р_._-;_-@_-"/>
    <numFmt numFmtId="205" formatCode="_-* #,##0_р_._-;\-* #,##0_р_._-;_-* &quot;-&quot;??_р_._-;_-@_-"/>
    <numFmt numFmtId="206" formatCode="#,##0.00_ ;\-#,##0.00\ "/>
  </numFmts>
  <fonts count="79">
    <font>
      <sz val="10"/>
      <name val="Arial Cyr"/>
      <family val="0"/>
    </font>
    <font>
      <u val="single"/>
      <sz val="10"/>
      <color indexed="12"/>
      <name val="Arial Cyr"/>
      <family val="0"/>
    </font>
    <font>
      <u val="single"/>
      <sz val="10"/>
      <color indexed="36"/>
      <name val="Arial Cyr"/>
      <family val="0"/>
    </font>
    <font>
      <b/>
      <sz val="15"/>
      <color indexed="62"/>
      <name val="Calibri"/>
      <family val="2"/>
    </font>
    <font>
      <b/>
      <sz val="11"/>
      <color indexed="62"/>
      <name val="Calibri"/>
      <family val="2"/>
    </font>
    <font>
      <b/>
      <sz val="18"/>
      <color indexed="62"/>
      <name val="Cambria"/>
      <family val="2"/>
    </font>
    <font>
      <i/>
      <sz val="12"/>
      <color indexed="8"/>
      <name val="Times New Roman"/>
      <family val="1"/>
    </font>
    <font>
      <b/>
      <i/>
      <sz val="12"/>
      <color indexed="8"/>
      <name val="Times New Roman"/>
      <family val="1"/>
    </font>
    <font>
      <i/>
      <sz val="12"/>
      <name val="Times New Roman"/>
      <family val="1"/>
    </font>
    <font>
      <i/>
      <sz val="11"/>
      <name val="Times New Roman"/>
      <family val="1"/>
    </font>
    <font>
      <b/>
      <sz val="12"/>
      <name val="Times New Roman"/>
      <family val="1"/>
    </font>
    <font>
      <sz val="12"/>
      <name val="Times New Roman"/>
      <family val="1"/>
    </font>
    <font>
      <i/>
      <sz val="12"/>
      <color indexed="30"/>
      <name val="Times New Roman"/>
      <family val="1"/>
    </font>
    <font>
      <b/>
      <i/>
      <sz val="12"/>
      <name val="Times New Roman"/>
      <family val="1"/>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0"/>
      <color indexed="8"/>
      <name val="Times New Roman"/>
      <family val="1"/>
    </font>
    <font>
      <sz val="14"/>
      <color indexed="8"/>
      <name val="Times New Roman"/>
      <family val="1"/>
    </font>
    <font>
      <sz val="20"/>
      <color indexed="8"/>
      <name val="Times New Roman"/>
      <family val="1"/>
    </font>
    <font>
      <sz val="12"/>
      <color indexed="8"/>
      <name val="Arial Cyr"/>
      <family val="0"/>
    </font>
    <font>
      <i/>
      <sz val="12"/>
      <color indexed="8"/>
      <name val="Arial Cyr"/>
      <family val="0"/>
    </font>
    <font>
      <b/>
      <sz val="14"/>
      <color indexed="8"/>
      <name val="Times New Roman"/>
      <family val="1"/>
    </font>
    <font>
      <sz val="10"/>
      <color indexed="8"/>
      <name val="Arial Cyr"/>
      <family val="0"/>
    </font>
    <font>
      <sz val="22"/>
      <color indexed="8"/>
      <name val="Times New Roman"/>
      <family val="1"/>
    </font>
    <font>
      <sz val="24"/>
      <color indexed="8"/>
      <name val="Times New Roman"/>
      <family val="1"/>
    </font>
    <font>
      <sz val="22"/>
      <color indexed="8"/>
      <name val="Arial Cyr"/>
      <family val="0"/>
    </font>
    <font>
      <sz val="11"/>
      <color indexed="8"/>
      <name val="Times New Roman"/>
      <family val="1"/>
    </font>
    <font>
      <i/>
      <sz val="11"/>
      <color indexed="8"/>
      <name val="Times New Roman"/>
      <family val="1"/>
    </font>
    <font>
      <u val="single"/>
      <sz val="22"/>
      <color indexed="8"/>
      <name val="Times New Roman"/>
      <family val="1"/>
    </font>
    <font>
      <sz val="18"/>
      <color indexed="8"/>
      <name val="Times New Roman"/>
      <family val="1"/>
    </font>
    <font>
      <sz val="2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i/>
      <sz val="12"/>
      <color theme="1"/>
      <name val="Times New Roman"/>
      <family val="1"/>
    </font>
    <font>
      <b/>
      <sz val="12"/>
      <color theme="1"/>
      <name val="Times New Roman"/>
      <family val="1"/>
    </font>
    <font>
      <b/>
      <i/>
      <sz val="12"/>
      <color theme="1"/>
      <name val="Times New Roman"/>
      <family val="1"/>
    </font>
    <font>
      <sz val="10"/>
      <color theme="1"/>
      <name val="Times New Roman"/>
      <family val="1"/>
    </font>
    <font>
      <sz val="14"/>
      <color theme="1"/>
      <name val="Times New Roman"/>
      <family val="1"/>
    </font>
    <font>
      <sz val="20"/>
      <color theme="1"/>
      <name val="Times New Roman"/>
      <family val="1"/>
    </font>
    <font>
      <sz val="12"/>
      <color theme="1"/>
      <name val="Arial Cyr"/>
      <family val="0"/>
    </font>
    <font>
      <i/>
      <sz val="12"/>
      <color theme="1"/>
      <name val="Arial Cyr"/>
      <family val="0"/>
    </font>
    <font>
      <b/>
      <sz val="14"/>
      <color theme="1"/>
      <name val="Times New Roman"/>
      <family val="1"/>
    </font>
    <font>
      <sz val="10"/>
      <color theme="1"/>
      <name val="Arial Cyr"/>
      <family val="0"/>
    </font>
    <font>
      <sz val="22"/>
      <color theme="1"/>
      <name val="Times New Roman"/>
      <family val="1"/>
    </font>
    <font>
      <sz val="24"/>
      <color theme="1"/>
      <name val="Times New Roman"/>
      <family val="1"/>
    </font>
    <font>
      <sz val="22"/>
      <color theme="1"/>
      <name val="Arial Cyr"/>
      <family val="0"/>
    </font>
    <font>
      <sz val="11"/>
      <color theme="1"/>
      <name val="Times New Roman"/>
      <family val="1"/>
    </font>
    <font>
      <i/>
      <sz val="11"/>
      <color theme="1"/>
      <name val="Times New Roman"/>
      <family val="1"/>
    </font>
    <font>
      <sz val="12"/>
      <color rgb="FF000000"/>
      <name val="Times New Roman"/>
      <family val="1"/>
    </font>
    <font>
      <u val="single"/>
      <sz val="22"/>
      <color theme="1"/>
      <name val="Times New Roman"/>
      <family val="1"/>
    </font>
    <font>
      <sz val="18"/>
      <color theme="1"/>
      <name val="Times New Roman"/>
      <family val="1"/>
    </font>
    <font>
      <sz val="26"/>
      <color theme="1"/>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3" applyNumberFormat="0" applyFill="0" applyAlignment="0" applyProtection="0"/>
    <xf numFmtId="0" fontId="20"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5" fillId="0" borderId="0" applyNumberFormat="0" applyFill="0" applyBorder="0" applyAlignment="0" applyProtection="0"/>
    <xf numFmtId="0" fontId="53" fillId="21" borderId="0" applyNumberFormat="0" applyBorder="0" applyAlignment="0" applyProtection="0"/>
    <xf numFmtId="0" fontId="2"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24" borderId="0" applyNumberFormat="0" applyBorder="0" applyAlignment="0" applyProtection="0"/>
  </cellStyleXfs>
  <cellXfs count="169">
    <xf numFmtId="0" fontId="0" fillId="0" borderId="0" xfId="0" applyAlignment="1">
      <alignment/>
    </xf>
    <xf numFmtId="3" fontId="59" fillId="0" borderId="0" xfId="0" applyNumberFormat="1" applyFont="1" applyFill="1" applyBorder="1" applyAlignment="1">
      <alignment wrapText="1"/>
    </xf>
    <xf numFmtId="0" fontId="59" fillId="0" borderId="10" xfId="0" applyNumberFormat="1" applyFont="1" applyFill="1" applyBorder="1" applyAlignment="1" applyProtection="1">
      <alignment horizontal="center" vertical="center" wrapText="1"/>
      <protection/>
    </xf>
    <xf numFmtId="198" fontId="59" fillId="0" borderId="0" xfId="0" applyNumberFormat="1" applyFont="1" applyFill="1" applyBorder="1" applyAlignment="1">
      <alignment wrapText="1"/>
    </xf>
    <xf numFmtId="198" fontId="60" fillId="0" borderId="0" xfId="0" applyNumberFormat="1" applyFont="1" applyFill="1" applyBorder="1" applyAlignment="1">
      <alignment wrapText="1"/>
    </xf>
    <xf numFmtId="3" fontId="59" fillId="0" borderId="0" xfId="0" applyNumberFormat="1" applyFont="1" applyFill="1" applyBorder="1" applyAlignment="1" applyProtection="1">
      <alignment/>
      <protection locked="0"/>
    </xf>
    <xf numFmtId="3" fontId="60" fillId="0" borderId="0" xfId="0" applyNumberFormat="1" applyFont="1" applyFill="1" applyBorder="1" applyAlignment="1">
      <alignment wrapText="1"/>
    </xf>
    <xf numFmtId="3" fontId="61" fillId="0" borderId="0" xfId="0" applyNumberFormat="1" applyFont="1" applyFill="1" applyBorder="1" applyAlignment="1">
      <alignment wrapText="1"/>
    </xf>
    <xf numFmtId="3" fontId="59" fillId="0" borderId="0" xfId="0" applyNumberFormat="1" applyFont="1" applyFill="1" applyAlignment="1">
      <alignment horizontal="right" wrapText="1"/>
    </xf>
    <xf numFmtId="3" fontId="62" fillId="0" borderId="0" xfId="0" applyNumberFormat="1" applyFont="1" applyFill="1" applyBorder="1" applyAlignment="1">
      <alignment wrapText="1"/>
    </xf>
    <xf numFmtId="3" fontId="63" fillId="0" borderId="0" xfId="0" applyNumberFormat="1" applyFont="1" applyFill="1" applyAlignment="1">
      <alignment wrapText="1"/>
    </xf>
    <xf numFmtId="3" fontId="63" fillId="0" borderId="0" xfId="0" applyNumberFormat="1" applyFont="1" applyFill="1" applyAlignment="1">
      <alignment horizontal="right" wrapText="1"/>
    </xf>
    <xf numFmtId="0" fontId="64" fillId="0" borderId="0" xfId="0" applyFont="1" applyFill="1" applyAlignment="1">
      <alignment wrapText="1"/>
    </xf>
    <xf numFmtId="3" fontId="61" fillId="0" borderId="0" xfId="0" applyNumberFormat="1" applyFont="1" applyFill="1" applyBorder="1" applyAlignment="1">
      <alignment horizontal="right" wrapText="1"/>
    </xf>
    <xf numFmtId="0" fontId="65" fillId="0" borderId="0" xfId="0" applyFont="1" applyFill="1" applyAlignment="1">
      <alignment/>
    </xf>
    <xf numFmtId="49" fontId="59" fillId="0" borderId="10" xfId="0" applyNumberFormat="1" applyFont="1" applyFill="1" applyBorder="1" applyAlignment="1">
      <alignment horizontal="center" wrapText="1"/>
    </xf>
    <xf numFmtId="0" fontId="59" fillId="0" borderId="10" xfId="0" applyFont="1" applyFill="1" applyBorder="1" applyAlignment="1">
      <alignment horizontal="center"/>
    </xf>
    <xf numFmtId="0" fontId="59" fillId="0" borderId="0" xfId="0" applyFont="1" applyFill="1" applyBorder="1" applyAlignment="1">
      <alignment/>
    </xf>
    <xf numFmtId="49" fontId="61" fillId="0" borderId="0" xfId="0" applyNumberFormat="1" applyFont="1" applyFill="1" applyBorder="1" applyAlignment="1">
      <alignment horizontal="center"/>
    </xf>
    <xf numFmtId="0" fontId="61" fillId="0" borderId="0" xfId="0" applyFont="1" applyFill="1" applyBorder="1" applyAlignment="1">
      <alignment horizontal="left" wrapText="1"/>
    </xf>
    <xf numFmtId="0" fontId="60" fillId="0" borderId="0" xfId="0" applyFont="1" applyFill="1" applyBorder="1" applyAlignment="1">
      <alignment/>
    </xf>
    <xf numFmtId="49" fontId="62" fillId="0" borderId="0" xfId="0" applyNumberFormat="1" applyFont="1" applyFill="1" applyBorder="1" applyAlignment="1">
      <alignment horizontal="center"/>
    </xf>
    <xf numFmtId="0" fontId="62" fillId="0" borderId="0" xfId="0" applyFont="1" applyFill="1" applyBorder="1" applyAlignment="1">
      <alignment horizontal="left" wrapText="1"/>
    </xf>
    <xf numFmtId="49" fontId="59" fillId="0" borderId="0" xfId="0" applyNumberFormat="1" applyFont="1" applyFill="1" applyBorder="1" applyAlignment="1">
      <alignment horizontal="center"/>
    </xf>
    <xf numFmtId="0" fontId="59" fillId="0" borderId="0" xfId="0" applyFont="1" applyFill="1" applyBorder="1" applyAlignment="1">
      <alignment wrapText="1"/>
    </xf>
    <xf numFmtId="196" fontId="59" fillId="0" borderId="0" xfId="0" applyNumberFormat="1" applyFont="1" applyFill="1" applyBorder="1" applyAlignment="1">
      <alignment wrapText="1"/>
    </xf>
    <xf numFmtId="188" fontId="59" fillId="0" borderId="0" xfId="0" applyNumberFormat="1" applyFont="1" applyFill="1" applyBorder="1" applyAlignment="1">
      <alignment/>
    </xf>
    <xf numFmtId="49" fontId="60" fillId="0" borderId="0" xfId="0" applyNumberFormat="1" applyFont="1" applyFill="1" applyBorder="1" applyAlignment="1">
      <alignment horizontal="center"/>
    </xf>
    <xf numFmtId="0" fontId="60" fillId="0" borderId="0" xfId="0" applyFont="1" applyFill="1" applyBorder="1" applyAlignment="1">
      <alignment horizontal="left" wrapText="1"/>
    </xf>
    <xf numFmtId="0" fontId="61" fillId="0" borderId="0" xfId="0" applyFont="1" applyFill="1" applyBorder="1" applyAlignment="1">
      <alignment/>
    </xf>
    <xf numFmtId="0" fontId="62" fillId="0" borderId="0" xfId="0" applyFont="1" applyFill="1" applyBorder="1" applyAlignment="1">
      <alignment/>
    </xf>
    <xf numFmtId="0" fontId="60" fillId="0" borderId="0" xfId="0" applyFont="1" applyFill="1" applyBorder="1" applyAlignment="1">
      <alignment wrapText="1"/>
    </xf>
    <xf numFmtId="1" fontId="59" fillId="0" borderId="0" xfId="0" applyNumberFormat="1" applyFont="1" applyFill="1" applyBorder="1" applyAlignment="1">
      <alignment horizontal="left" wrapText="1"/>
    </xf>
    <xf numFmtId="1" fontId="60" fillId="0" borderId="0" xfId="0" applyNumberFormat="1" applyFont="1" applyFill="1" applyBorder="1" applyAlignment="1">
      <alignment horizontal="left" wrapText="1"/>
    </xf>
    <xf numFmtId="0" fontId="59" fillId="0" borderId="0" xfId="0" applyFont="1" applyFill="1" applyAlignment="1">
      <alignment wrapText="1"/>
    </xf>
    <xf numFmtId="1" fontId="59" fillId="0" borderId="0" xfId="0" applyNumberFormat="1" applyFont="1" applyFill="1" applyBorder="1" applyAlignment="1">
      <alignment wrapText="1"/>
    </xf>
    <xf numFmtId="3" fontId="60" fillId="0" borderId="0" xfId="0" applyNumberFormat="1" applyFont="1" applyFill="1" applyBorder="1" applyAlignment="1" applyProtection="1">
      <alignment/>
      <protection locked="0"/>
    </xf>
    <xf numFmtId="1" fontId="60" fillId="0" borderId="0" xfId="0" applyNumberFormat="1" applyFont="1" applyFill="1" applyBorder="1" applyAlignment="1">
      <alignment wrapText="1"/>
    </xf>
    <xf numFmtId="0" fontId="61" fillId="0" borderId="0" xfId="0" applyFont="1" applyFill="1" applyBorder="1" applyAlignment="1">
      <alignment wrapText="1"/>
    </xf>
    <xf numFmtId="196" fontId="61" fillId="0" borderId="0" xfId="0" applyNumberFormat="1" applyFont="1" applyFill="1" applyBorder="1" applyAlignment="1">
      <alignment wrapText="1"/>
    </xf>
    <xf numFmtId="0" fontId="59" fillId="0" borderId="0" xfId="0" applyFont="1" applyFill="1" applyBorder="1" applyAlignment="1">
      <alignment horizontal="left" wrapText="1"/>
    </xf>
    <xf numFmtId="49" fontId="59" fillId="0" borderId="0" xfId="0" applyNumberFormat="1" applyFont="1" applyFill="1" applyBorder="1" applyAlignment="1">
      <alignment horizontal="center" wrapText="1"/>
    </xf>
    <xf numFmtId="3" fontId="60" fillId="0" borderId="0" xfId="0" applyNumberFormat="1" applyFont="1" applyFill="1" applyAlignment="1">
      <alignment horizontal="right"/>
    </xf>
    <xf numFmtId="3" fontId="60" fillId="0" borderId="0" xfId="0" applyNumberFormat="1" applyFont="1" applyFill="1" applyAlignment="1">
      <alignment horizontal="right" wrapText="1"/>
    </xf>
    <xf numFmtId="0" fontId="59" fillId="0" borderId="0" xfId="0" applyFont="1" applyFill="1" applyAlignment="1">
      <alignment/>
    </xf>
    <xf numFmtId="1" fontId="61" fillId="0" borderId="0" xfId="0" applyNumberFormat="1" applyFont="1" applyFill="1" applyBorder="1" applyAlignment="1">
      <alignment horizontal="left" wrapText="1"/>
    </xf>
    <xf numFmtId="188" fontId="59" fillId="0" borderId="0" xfId="0" applyNumberFormat="1" applyFont="1" applyFill="1" applyBorder="1" applyAlignment="1">
      <alignment wrapText="1"/>
    </xf>
    <xf numFmtId="188" fontId="60" fillId="0" borderId="0" xfId="0" applyNumberFormat="1" applyFont="1" applyFill="1" applyBorder="1" applyAlignment="1">
      <alignment wrapText="1"/>
    </xf>
    <xf numFmtId="49" fontId="61" fillId="0" borderId="0" xfId="0" applyNumberFormat="1" applyFont="1" applyFill="1" applyBorder="1" applyAlignment="1">
      <alignment horizontal="center" wrapText="1"/>
    </xf>
    <xf numFmtId="1" fontId="61" fillId="0" borderId="0" xfId="0" applyNumberFormat="1" applyFont="1" applyFill="1" applyBorder="1" applyAlignment="1">
      <alignment wrapText="1"/>
    </xf>
    <xf numFmtId="49" fontId="60" fillId="0" borderId="0" xfId="0" applyNumberFormat="1" applyFont="1" applyFill="1" applyBorder="1" applyAlignment="1">
      <alignment horizontal="center" wrapText="1"/>
    </xf>
    <xf numFmtId="0" fontId="60" fillId="0" borderId="0" xfId="0" applyFont="1" applyFill="1" applyAlignment="1">
      <alignment horizontal="left" wrapText="1"/>
    </xf>
    <xf numFmtId="0" fontId="59" fillId="0" borderId="0" xfId="0" applyFont="1" applyFill="1" applyAlignment="1">
      <alignment horizontal="left" wrapText="1"/>
    </xf>
    <xf numFmtId="49" fontId="59" fillId="0" borderId="0" xfId="0" applyNumberFormat="1" applyFont="1" applyFill="1" applyAlignment="1">
      <alignment horizontal="center"/>
    </xf>
    <xf numFmtId="49" fontId="60" fillId="0" borderId="0" xfId="0" applyNumberFormat="1" applyFont="1" applyFill="1" applyAlignment="1">
      <alignment horizontal="center"/>
    </xf>
    <xf numFmtId="49" fontId="61" fillId="0" borderId="0" xfId="0" applyNumberFormat="1" applyFont="1" applyFill="1" applyAlignment="1">
      <alignment horizontal="center"/>
    </xf>
    <xf numFmtId="0" fontId="66" fillId="0" borderId="0" xfId="0" applyFont="1" applyFill="1" applyBorder="1" applyAlignment="1">
      <alignment/>
    </xf>
    <xf numFmtId="0" fontId="67" fillId="0" borderId="0" xfId="0" applyFont="1" applyFill="1" applyBorder="1" applyAlignment="1">
      <alignment/>
    </xf>
    <xf numFmtId="3" fontId="59" fillId="0" borderId="0" xfId="0" applyNumberFormat="1" applyFont="1" applyFill="1" applyBorder="1" applyAlignment="1">
      <alignment horizontal="right" wrapText="1"/>
    </xf>
    <xf numFmtId="0" fontId="62" fillId="0" borderId="0" xfId="0" applyFont="1" applyFill="1" applyBorder="1" applyAlignment="1">
      <alignment wrapText="1"/>
    </xf>
    <xf numFmtId="49" fontId="60" fillId="0" borderId="0" xfId="0" applyNumberFormat="1" applyFont="1" applyFill="1" applyBorder="1" applyAlignment="1">
      <alignment horizontal="left" wrapText="1"/>
    </xf>
    <xf numFmtId="0" fontId="60" fillId="0" borderId="0" xfId="0" applyFont="1" applyFill="1" applyAlignment="1">
      <alignment wrapText="1"/>
    </xf>
    <xf numFmtId="0" fontId="61" fillId="0" borderId="0" xfId="0" applyFont="1" applyFill="1" applyBorder="1" applyAlignment="1">
      <alignment horizontal="center"/>
    </xf>
    <xf numFmtId="0" fontId="62" fillId="0" borderId="0" xfId="0" applyFont="1" applyFill="1" applyBorder="1" applyAlignment="1">
      <alignment horizontal="center"/>
    </xf>
    <xf numFmtId="3" fontId="68" fillId="0" borderId="0" xfId="0" applyNumberFormat="1" applyFont="1" applyFill="1" applyBorder="1" applyAlignment="1">
      <alignment wrapText="1"/>
    </xf>
    <xf numFmtId="0" fontId="63" fillId="0" borderId="0" xfId="0" applyFont="1" applyFill="1" applyAlignment="1">
      <alignment/>
    </xf>
    <xf numFmtId="0" fontId="63" fillId="0" borderId="0" xfId="0" applyFont="1" applyFill="1" applyAlignment="1">
      <alignment horizontal="center"/>
    </xf>
    <xf numFmtId="0" fontId="63" fillId="0" borderId="0" xfId="0" applyFont="1" applyFill="1" applyAlignment="1">
      <alignment wrapText="1"/>
    </xf>
    <xf numFmtId="0" fontId="69" fillId="0" borderId="0" xfId="0" applyFont="1" applyFill="1" applyAlignment="1">
      <alignment/>
    </xf>
    <xf numFmtId="0" fontId="69" fillId="0" borderId="0" xfId="0" applyFont="1" applyFill="1" applyAlignment="1">
      <alignment horizontal="center"/>
    </xf>
    <xf numFmtId="0" fontId="63" fillId="0" borderId="0" xfId="0" applyFont="1" applyFill="1" applyAlignment="1">
      <alignment horizontal="left" wrapText="1"/>
    </xf>
    <xf numFmtId="0" fontId="64" fillId="0" borderId="0" xfId="0" applyFont="1" applyFill="1" applyAlignment="1">
      <alignment/>
    </xf>
    <xf numFmtId="0" fontId="64" fillId="0" borderId="0" xfId="0" applyFont="1" applyFill="1" applyAlignment="1">
      <alignment horizontal="center"/>
    </xf>
    <xf numFmtId="2" fontId="64" fillId="0" borderId="0" xfId="0" applyNumberFormat="1" applyFont="1" applyFill="1" applyAlignment="1">
      <alignment wrapText="1"/>
    </xf>
    <xf numFmtId="197" fontId="64" fillId="0" borderId="0" xfId="0" applyNumberFormat="1" applyFont="1" applyFill="1" applyAlignment="1">
      <alignment wrapText="1"/>
    </xf>
    <xf numFmtId="0" fontId="65" fillId="0" borderId="0" xfId="0" applyFont="1" applyFill="1" applyAlignment="1">
      <alignment horizontal="center"/>
    </xf>
    <xf numFmtId="49" fontId="65" fillId="0" borderId="0" xfId="0" applyNumberFormat="1" applyFont="1" applyFill="1" applyAlignment="1">
      <alignment wrapText="1"/>
    </xf>
    <xf numFmtId="2" fontId="70" fillId="0" borderId="0" xfId="0" applyNumberFormat="1" applyFont="1" applyFill="1" applyAlignment="1">
      <alignment wrapText="1"/>
    </xf>
    <xf numFmtId="0" fontId="70" fillId="0" borderId="0" xfId="0" applyFont="1" applyFill="1" applyAlignment="1">
      <alignment/>
    </xf>
    <xf numFmtId="0" fontId="71" fillId="0" borderId="0" xfId="0" applyFont="1" applyFill="1" applyAlignment="1">
      <alignment horizontal="center"/>
    </xf>
    <xf numFmtId="0" fontId="71" fillId="0" borderId="0" xfId="0" applyFont="1" applyFill="1" applyAlignment="1">
      <alignment wrapText="1"/>
    </xf>
    <xf numFmtId="2" fontId="71" fillId="0" borderId="0" xfId="0" applyNumberFormat="1" applyFont="1" applyFill="1" applyAlignment="1">
      <alignment wrapText="1"/>
    </xf>
    <xf numFmtId="0" fontId="71" fillId="0" borderId="0" xfId="0" applyFont="1" applyFill="1" applyAlignment="1">
      <alignment/>
    </xf>
    <xf numFmtId="0" fontId="71" fillId="0" borderId="0" xfId="0" applyFont="1" applyFill="1" applyAlignment="1">
      <alignment/>
    </xf>
    <xf numFmtId="197" fontId="71" fillId="0" borderId="0" xfId="0" applyNumberFormat="1" applyFont="1" applyFill="1" applyAlignment="1">
      <alignment wrapText="1"/>
    </xf>
    <xf numFmtId="197" fontId="71" fillId="0" borderId="0" xfId="0" applyNumberFormat="1" applyFont="1" applyFill="1" applyAlignment="1">
      <alignment/>
    </xf>
    <xf numFmtId="0" fontId="71" fillId="0" borderId="0" xfId="0" applyFont="1" applyFill="1" applyAlignment="1">
      <alignment horizontal="left"/>
    </xf>
    <xf numFmtId="188" fontId="61" fillId="0" borderId="0" xfId="0" applyNumberFormat="1" applyFont="1" applyFill="1" applyBorder="1" applyAlignment="1">
      <alignment/>
    </xf>
    <xf numFmtId="49" fontId="6" fillId="0" borderId="0" xfId="0" applyNumberFormat="1" applyFont="1" applyFill="1" applyBorder="1" applyAlignment="1">
      <alignment wrapText="1"/>
    </xf>
    <xf numFmtId="0" fontId="8" fillId="0" borderId="0" xfId="0" applyFont="1" applyFill="1" applyBorder="1" applyAlignment="1">
      <alignment wrapText="1"/>
    </xf>
    <xf numFmtId="0" fontId="8" fillId="0" borderId="0" xfId="0" applyFont="1" applyFill="1" applyBorder="1" applyAlignment="1">
      <alignment horizontal="left" wrapText="1"/>
    </xf>
    <xf numFmtId="1" fontId="9" fillId="0" borderId="0" xfId="0" applyNumberFormat="1" applyFont="1" applyFill="1" applyBorder="1" applyAlignment="1">
      <alignment wrapText="1"/>
    </xf>
    <xf numFmtId="2" fontId="71" fillId="0" borderId="0" xfId="0" applyNumberFormat="1" applyFont="1" applyFill="1" applyAlignment="1">
      <alignment/>
    </xf>
    <xf numFmtId="2" fontId="71" fillId="0" borderId="0" xfId="0" applyNumberFormat="1" applyFont="1" applyFill="1" applyAlignment="1">
      <alignment horizontal="left"/>
    </xf>
    <xf numFmtId="2" fontId="65" fillId="0" borderId="0" xfId="0" applyNumberFormat="1" applyFont="1" applyFill="1" applyAlignment="1">
      <alignment wrapText="1"/>
    </xf>
    <xf numFmtId="2" fontId="72" fillId="0" borderId="0" xfId="0" applyNumberFormat="1" applyFont="1" applyFill="1" applyAlignment="1">
      <alignment wrapText="1"/>
    </xf>
    <xf numFmtId="2" fontId="69" fillId="0" borderId="0" xfId="0" applyNumberFormat="1" applyFont="1" applyFill="1" applyAlignment="1">
      <alignment wrapText="1"/>
    </xf>
    <xf numFmtId="1" fontId="59" fillId="0" borderId="10" xfId="0" applyNumberFormat="1" applyFont="1" applyFill="1" applyBorder="1" applyAlignment="1" applyProtection="1">
      <alignment horizontal="center" vertical="center" wrapText="1"/>
      <protection/>
    </xf>
    <xf numFmtId="179" fontId="65" fillId="0" borderId="0" xfId="60" applyFont="1" applyFill="1" applyAlignment="1">
      <alignment horizontal="right" wrapText="1"/>
    </xf>
    <xf numFmtId="179" fontId="70" fillId="0" borderId="0" xfId="60" applyFont="1" applyFill="1" applyAlignment="1">
      <alignment horizontal="right" wrapText="1"/>
    </xf>
    <xf numFmtId="179" fontId="64" fillId="0" borderId="0" xfId="60" applyFont="1" applyFill="1" applyAlignment="1">
      <alignment horizontal="right" wrapText="1"/>
    </xf>
    <xf numFmtId="205" fontId="59" fillId="0" borderId="10" xfId="60" applyNumberFormat="1" applyFont="1" applyFill="1" applyBorder="1" applyAlignment="1" applyProtection="1">
      <alignment horizontal="left" vertical="center" wrapText="1"/>
      <protection/>
    </xf>
    <xf numFmtId="179" fontId="73" fillId="0" borderId="11" xfId="60" applyFont="1" applyFill="1" applyBorder="1" applyAlignment="1" applyProtection="1">
      <alignment horizontal="center" vertical="center" wrapText="1"/>
      <protection/>
    </xf>
    <xf numFmtId="4" fontId="59" fillId="0" borderId="0" xfId="0" applyNumberFormat="1" applyFont="1" applyFill="1" applyBorder="1" applyAlignment="1">
      <alignment wrapText="1"/>
    </xf>
    <xf numFmtId="4" fontId="60" fillId="0" borderId="0" xfId="0" applyNumberFormat="1" applyFont="1" applyFill="1" applyBorder="1" applyAlignment="1">
      <alignment wrapText="1"/>
    </xf>
    <xf numFmtId="4" fontId="74" fillId="0" borderId="0" xfId="0" applyNumberFormat="1" applyFont="1" applyFill="1" applyBorder="1" applyAlignment="1">
      <alignment wrapText="1"/>
    </xf>
    <xf numFmtId="4" fontId="59" fillId="0" borderId="0" xfId="0" applyNumberFormat="1" applyFont="1" applyFill="1" applyBorder="1" applyAlignment="1">
      <alignment/>
    </xf>
    <xf numFmtId="4" fontId="59" fillId="0" borderId="0" xfId="0" applyNumberFormat="1" applyFont="1" applyFill="1" applyBorder="1" applyAlignment="1" applyProtection="1">
      <alignment/>
      <protection locked="0"/>
    </xf>
    <xf numFmtId="4" fontId="61" fillId="0" borderId="0" xfId="0" applyNumberFormat="1" applyFont="1" applyFill="1" applyBorder="1" applyAlignment="1">
      <alignment wrapText="1"/>
    </xf>
    <xf numFmtId="4" fontId="59" fillId="0" borderId="0" xfId="0" applyNumberFormat="1" applyFont="1" applyFill="1" applyAlignment="1">
      <alignment horizontal="right" wrapText="1"/>
    </xf>
    <xf numFmtId="4" fontId="59" fillId="0" borderId="0" xfId="0" applyNumberFormat="1" applyFont="1" applyFill="1" applyBorder="1" applyAlignment="1">
      <alignment horizontal="right" wrapText="1"/>
    </xf>
    <xf numFmtId="4" fontId="60" fillId="0" borderId="0" xfId="0" applyNumberFormat="1" applyFont="1" applyFill="1" applyBorder="1" applyAlignment="1">
      <alignment horizontal="right" wrapText="1"/>
    </xf>
    <xf numFmtId="4" fontId="60" fillId="0" borderId="0" xfId="0" applyNumberFormat="1" applyFont="1" applyFill="1" applyBorder="1" applyAlignment="1" applyProtection="1">
      <alignment/>
      <protection locked="0"/>
    </xf>
    <xf numFmtId="4" fontId="62" fillId="0" borderId="0" xfId="0" applyNumberFormat="1" applyFont="1" applyFill="1" applyBorder="1" applyAlignment="1">
      <alignment wrapText="1"/>
    </xf>
    <xf numFmtId="4" fontId="61" fillId="0" borderId="0" xfId="0" applyNumberFormat="1" applyFont="1" applyFill="1" applyBorder="1" applyAlignment="1">
      <alignment horizontal="right" wrapText="1"/>
    </xf>
    <xf numFmtId="4" fontId="63" fillId="0" borderId="0" xfId="0" applyNumberFormat="1" applyFont="1" applyFill="1" applyAlignment="1">
      <alignment wrapText="1"/>
    </xf>
    <xf numFmtId="4" fontId="63" fillId="0" borderId="0" xfId="0" applyNumberFormat="1" applyFont="1" applyFill="1" applyAlignment="1">
      <alignment horizontal="right" wrapText="1"/>
    </xf>
    <xf numFmtId="4" fontId="59" fillId="0" borderId="0" xfId="60" applyNumberFormat="1" applyFont="1" applyFill="1" applyBorder="1" applyAlignment="1">
      <alignment horizontal="right" wrapText="1"/>
    </xf>
    <xf numFmtId="4" fontId="60" fillId="0" borderId="0" xfId="60" applyNumberFormat="1" applyFont="1" applyFill="1" applyBorder="1" applyAlignment="1">
      <alignment horizontal="right" wrapText="1"/>
    </xf>
    <xf numFmtId="4" fontId="59" fillId="0" borderId="0" xfId="60" applyNumberFormat="1" applyFont="1" applyFill="1" applyBorder="1" applyAlignment="1" applyProtection="1">
      <alignment horizontal="right"/>
      <protection locked="0"/>
    </xf>
    <xf numFmtId="4" fontId="67" fillId="0" borderId="0" xfId="0" applyNumberFormat="1" applyFont="1" applyFill="1" applyBorder="1" applyAlignment="1">
      <alignment wrapText="1"/>
    </xf>
    <xf numFmtId="4" fontId="66" fillId="0" borderId="0" xfId="0" applyNumberFormat="1" applyFont="1" applyFill="1" applyBorder="1" applyAlignment="1">
      <alignment wrapText="1"/>
    </xf>
    <xf numFmtId="4" fontId="60" fillId="0" borderId="0" xfId="60" applyNumberFormat="1" applyFont="1" applyFill="1" applyBorder="1" applyAlignment="1" applyProtection="1">
      <alignment horizontal="right"/>
      <protection locked="0"/>
    </xf>
    <xf numFmtId="4" fontId="61" fillId="0" borderId="0" xfId="60" applyNumberFormat="1" applyFont="1" applyFill="1" applyBorder="1" applyAlignment="1">
      <alignment horizontal="right" wrapText="1"/>
    </xf>
    <xf numFmtId="4" fontId="60" fillId="0" borderId="0" xfId="0" applyNumberFormat="1" applyFont="1" applyFill="1" applyAlignment="1">
      <alignment horizontal="right" wrapText="1"/>
    </xf>
    <xf numFmtId="4" fontId="60" fillId="0" borderId="0" xfId="60" applyNumberFormat="1" applyFont="1" applyFill="1" applyAlignment="1">
      <alignment horizontal="right" wrapText="1"/>
    </xf>
    <xf numFmtId="4" fontId="59" fillId="0" borderId="0" xfId="60" applyNumberFormat="1" applyFont="1" applyFill="1" applyAlignment="1">
      <alignment horizontal="right" wrapText="1"/>
    </xf>
    <xf numFmtId="4" fontId="62" fillId="0" borderId="0" xfId="60" applyNumberFormat="1" applyFont="1" applyFill="1" applyBorder="1" applyAlignment="1">
      <alignment horizontal="right" wrapText="1"/>
    </xf>
    <xf numFmtId="4" fontId="59" fillId="0" borderId="0" xfId="60" applyNumberFormat="1" applyFont="1" applyFill="1" applyBorder="1" applyAlignment="1" applyProtection="1">
      <alignment/>
      <protection locked="0"/>
    </xf>
    <xf numFmtId="4" fontId="60" fillId="0" borderId="0" xfId="0" applyNumberFormat="1" applyFont="1" applyFill="1" applyBorder="1" applyAlignment="1">
      <alignment/>
    </xf>
    <xf numFmtId="4" fontId="61" fillId="0" borderId="0" xfId="0" applyNumberFormat="1" applyFont="1" applyFill="1" applyBorder="1" applyAlignment="1">
      <alignment/>
    </xf>
    <xf numFmtId="0" fontId="8" fillId="0" borderId="0" xfId="0" applyFont="1" applyFill="1" applyAlignment="1">
      <alignment wrapText="1"/>
    </xf>
    <xf numFmtId="0" fontId="10" fillId="0" borderId="0" xfId="0" applyFont="1" applyFill="1" applyBorder="1" applyAlignment="1">
      <alignment horizontal="left" wrapText="1"/>
    </xf>
    <xf numFmtId="0" fontId="11" fillId="0" borderId="0" xfId="0" applyFont="1" applyFill="1" applyBorder="1" applyAlignment="1">
      <alignment horizontal="left" wrapText="1"/>
    </xf>
    <xf numFmtId="49" fontId="10" fillId="0" borderId="0" xfId="0" applyNumberFormat="1" applyFont="1" applyFill="1" applyBorder="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wrapText="1"/>
    </xf>
    <xf numFmtId="49" fontId="71" fillId="0" borderId="0" xfId="0" applyNumberFormat="1" applyFont="1" applyFill="1" applyAlignment="1">
      <alignment horizontal="center" wrapText="1"/>
    </xf>
    <xf numFmtId="0" fontId="73" fillId="0" borderId="10" xfId="0" applyNumberFormat="1" applyFont="1" applyFill="1" applyBorder="1" applyAlignment="1" applyProtection="1">
      <alignment horizontal="center" vertical="top" wrapText="1"/>
      <protection/>
    </xf>
    <xf numFmtId="4" fontId="11" fillId="0" borderId="0" xfId="0" applyNumberFormat="1" applyFont="1" applyFill="1" applyBorder="1" applyAlignment="1">
      <alignment/>
    </xf>
    <xf numFmtId="49" fontId="60" fillId="0" borderId="0" xfId="0" applyNumberFormat="1" applyFont="1" applyFill="1" applyBorder="1" applyAlignment="1">
      <alignment wrapText="1"/>
    </xf>
    <xf numFmtId="49" fontId="60" fillId="0" borderId="0" xfId="0" applyNumberFormat="1" applyFont="1" applyFill="1" applyAlignment="1">
      <alignment horizontal="left" wrapText="1"/>
    </xf>
    <xf numFmtId="0" fontId="70" fillId="0" borderId="0" xfId="0" applyFont="1" applyFill="1" applyAlignment="1">
      <alignment horizontal="center"/>
    </xf>
    <xf numFmtId="0" fontId="62" fillId="25" borderId="0" xfId="0" applyFont="1" applyFill="1" applyBorder="1" applyAlignment="1">
      <alignment/>
    </xf>
    <xf numFmtId="0" fontId="60" fillId="25" borderId="0" xfId="0" applyFont="1" applyFill="1" applyBorder="1" applyAlignment="1">
      <alignment/>
    </xf>
    <xf numFmtId="4" fontId="63" fillId="0" borderId="0" xfId="60" applyNumberFormat="1" applyFont="1" applyFill="1" applyAlignment="1">
      <alignment horizontal="right" wrapText="1"/>
    </xf>
    <xf numFmtId="49" fontId="13" fillId="0" borderId="0" xfId="0" applyNumberFormat="1" applyFont="1" applyFill="1" applyBorder="1" applyAlignment="1">
      <alignment horizontal="center"/>
    </xf>
    <xf numFmtId="4" fontId="59" fillId="26" borderId="0" xfId="0" applyNumberFormat="1" applyFont="1" applyFill="1" applyBorder="1" applyAlignment="1">
      <alignment wrapText="1"/>
    </xf>
    <xf numFmtId="4" fontId="60" fillId="26" borderId="0" xfId="0" applyNumberFormat="1" applyFont="1" applyFill="1" applyBorder="1" applyAlignment="1">
      <alignment wrapText="1"/>
    </xf>
    <xf numFmtId="49" fontId="8" fillId="0" borderId="0" xfId="0" applyNumberFormat="1" applyFont="1" applyFill="1" applyBorder="1" applyAlignment="1">
      <alignment horizontal="center"/>
    </xf>
    <xf numFmtId="4" fontId="14" fillId="0" borderId="0" xfId="0" applyNumberFormat="1" applyFont="1" applyFill="1" applyBorder="1" applyAlignment="1">
      <alignment/>
    </xf>
    <xf numFmtId="1" fontId="8" fillId="0" borderId="0" xfId="0" applyNumberFormat="1" applyFont="1" applyFill="1" applyBorder="1" applyAlignment="1">
      <alignment wrapText="1"/>
    </xf>
    <xf numFmtId="4" fontId="59" fillId="26" borderId="0" xfId="0" applyNumberFormat="1" applyFont="1" applyFill="1" applyAlignment="1">
      <alignment horizontal="right" wrapText="1"/>
    </xf>
    <xf numFmtId="0" fontId="75" fillId="0" borderId="0" xfId="0" applyFont="1" applyBorder="1" applyAlignment="1">
      <alignment wrapText="1"/>
    </xf>
    <xf numFmtId="0" fontId="11" fillId="0" borderId="0" xfId="0" applyFont="1" applyAlignment="1">
      <alignment/>
    </xf>
    <xf numFmtId="49" fontId="76" fillId="0" borderId="0" xfId="0" applyNumberFormat="1" applyFont="1" applyFill="1" applyAlignment="1">
      <alignment horizontal="center" wrapText="1"/>
    </xf>
    <xf numFmtId="49" fontId="77" fillId="0" borderId="0" xfId="0" applyNumberFormat="1" applyFont="1" applyFill="1" applyAlignment="1">
      <alignment horizontal="center" wrapText="1"/>
    </xf>
    <xf numFmtId="49" fontId="78" fillId="0" borderId="0" xfId="0" applyNumberFormat="1" applyFont="1" applyFill="1" applyAlignment="1">
      <alignment horizontal="center" wrapText="1"/>
    </xf>
    <xf numFmtId="0" fontId="73" fillId="0" borderId="12" xfId="0" applyNumberFormat="1" applyFont="1" applyFill="1" applyBorder="1" applyAlignment="1" applyProtection="1">
      <alignment horizontal="center" vertical="top" wrapText="1"/>
      <protection/>
    </xf>
    <xf numFmtId="0" fontId="73" fillId="0" borderId="13" xfId="0" applyNumberFormat="1" applyFont="1" applyFill="1" applyBorder="1" applyAlignment="1" applyProtection="1">
      <alignment horizontal="center" vertical="top" wrapText="1"/>
      <protection/>
    </xf>
    <xf numFmtId="0" fontId="73" fillId="0" borderId="14" xfId="0" applyNumberFormat="1" applyFont="1" applyFill="1" applyBorder="1" applyAlignment="1" applyProtection="1">
      <alignment horizontal="center" vertical="top" wrapText="1"/>
      <protection/>
    </xf>
    <xf numFmtId="0" fontId="73" fillId="0" borderId="11" xfId="0" applyNumberFormat="1" applyFont="1" applyFill="1" applyBorder="1" applyAlignment="1" applyProtection="1">
      <alignment horizontal="center" vertical="top" wrapText="1"/>
      <protection/>
    </xf>
    <xf numFmtId="0" fontId="73" fillId="0" borderId="15" xfId="0" applyNumberFormat="1" applyFont="1" applyFill="1" applyBorder="1" applyAlignment="1" applyProtection="1">
      <alignment horizontal="center" vertical="top" wrapText="1"/>
      <protection/>
    </xf>
    <xf numFmtId="0" fontId="73" fillId="0" borderId="16" xfId="0" applyNumberFormat="1" applyFont="1" applyFill="1" applyBorder="1" applyAlignment="1" applyProtection="1">
      <alignment horizontal="center" vertical="top" wrapText="1"/>
      <protection/>
    </xf>
    <xf numFmtId="0" fontId="73" fillId="0" borderId="10" xfId="0" applyNumberFormat="1" applyFont="1" applyFill="1" applyBorder="1" applyAlignment="1" applyProtection="1">
      <alignment horizontal="center" vertical="top" wrapText="1"/>
      <protection/>
    </xf>
    <xf numFmtId="179" fontId="73" fillId="0" borderId="12" xfId="60" applyFont="1" applyFill="1" applyBorder="1" applyAlignment="1" applyProtection="1">
      <alignment horizontal="center" vertical="center" wrapText="1"/>
      <protection/>
    </xf>
    <xf numFmtId="179" fontId="73" fillId="0" borderId="14" xfId="60" applyFont="1" applyFill="1" applyBorder="1" applyAlignment="1" applyProtection="1">
      <alignment horizontal="center" vertical="center" wrapText="1"/>
      <protection/>
    </xf>
    <xf numFmtId="2" fontId="70" fillId="0" borderId="0" xfId="0" applyNumberFormat="1" applyFont="1" applyFill="1" applyAlignment="1">
      <alignment horizontal="center" wrapText="1"/>
    </xf>
    <xf numFmtId="198" fontId="70" fillId="0" borderId="0" xfId="0" applyNumberFormat="1"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78">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377"/>
  <sheetViews>
    <sheetView tabSelected="1" view="pageBreakPreview" zoomScale="70" zoomScaleNormal="50" zoomScaleSheetLayoutView="70" zoomScalePageLayoutView="0" workbookViewId="0" topLeftCell="C1">
      <selection activeCell="C170" sqref="C170:D170"/>
    </sheetView>
  </sheetViews>
  <sheetFormatPr defaultColWidth="9.125" defaultRowHeight="12.75"/>
  <cols>
    <col min="1" max="1" width="4.00390625" style="71" hidden="1" customWidth="1"/>
    <col min="2" max="2" width="8.375" style="71" hidden="1" customWidth="1"/>
    <col min="3" max="3" width="14.00390625" style="72" customWidth="1"/>
    <col min="4" max="4" width="13.625" style="72" customWidth="1"/>
    <col min="5" max="5" width="14.50390625" style="72" customWidth="1"/>
    <col min="6" max="6" width="66.50390625" style="12" customWidth="1"/>
    <col min="7" max="7" width="19.875" style="12" customWidth="1"/>
    <col min="8" max="8" width="17.125" style="12" hidden="1" customWidth="1"/>
    <col min="9" max="9" width="20.875" style="12" customWidth="1"/>
    <col min="10" max="10" width="11.125" style="12" customWidth="1"/>
    <col min="11" max="11" width="9.875" style="73" hidden="1" customWidth="1"/>
    <col min="12" max="12" width="17.625" style="73" customWidth="1"/>
    <col min="13" max="13" width="11.75390625" style="73" hidden="1" customWidth="1"/>
    <col min="14" max="14" width="15.50390625" style="96" customWidth="1"/>
    <col min="15" max="15" width="15.00390625" style="100" customWidth="1"/>
    <col min="16" max="16" width="11.00390625" style="12" customWidth="1"/>
    <col min="17" max="17" width="15.00390625" style="12" hidden="1" customWidth="1"/>
    <col min="18" max="18" width="17.875" style="12" customWidth="1"/>
    <col min="19" max="19" width="16.50390625" style="74" hidden="1" customWidth="1"/>
    <col min="20" max="20" width="16.875" style="71" customWidth="1"/>
    <col min="21" max="21" width="15.375" style="71" customWidth="1"/>
    <col min="22" max="22" width="10.625" style="71" customWidth="1"/>
    <col min="23" max="16384" width="9.125" style="71" customWidth="1"/>
  </cols>
  <sheetData>
    <row r="1" spans="3:22" s="14" customFormat="1" ht="30.75" customHeight="1">
      <c r="C1" s="79"/>
      <c r="D1" s="79"/>
      <c r="E1" s="79"/>
      <c r="F1" s="80"/>
      <c r="G1" s="80"/>
      <c r="H1" s="80"/>
      <c r="I1" s="80"/>
      <c r="J1" s="80"/>
      <c r="K1" s="81"/>
      <c r="L1" s="81"/>
      <c r="M1" s="81"/>
      <c r="N1" s="92"/>
      <c r="O1" s="82" t="s">
        <v>404</v>
      </c>
      <c r="Q1" s="83"/>
      <c r="R1" s="83"/>
      <c r="S1" s="84"/>
      <c r="T1" s="83"/>
      <c r="U1" s="83"/>
      <c r="V1" s="83"/>
    </row>
    <row r="2" spans="3:22" s="14" customFormat="1" ht="38.25" customHeight="1">
      <c r="C2" s="79"/>
      <c r="D2" s="79"/>
      <c r="E2" s="79"/>
      <c r="F2" s="80"/>
      <c r="G2" s="80"/>
      <c r="H2" s="80"/>
      <c r="I2" s="80"/>
      <c r="J2" s="80"/>
      <c r="K2" s="81"/>
      <c r="L2" s="81"/>
      <c r="M2" s="92"/>
      <c r="N2" s="92"/>
      <c r="O2" s="82" t="s">
        <v>382</v>
      </c>
      <c r="Q2" s="83"/>
      <c r="R2" s="82"/>
      <c r="S2" s="85"/>
      <c r="T2" s="83"/>
      <c r="U2" s="83"/>
      <c r="V2" s="83"/>
    </row>
    <row r="3" spans="3:22" s="14" customFormat="1" ht="35.25" customHeight="1">
      <c r="C3" s="79"/>
      <c r="D3" s="79"/>
      <c r="E3" s="79"/>
      <c r="F3" s="80"/>
      <c r="G3" s="80"/>
      <c r="H3" s="80"/>
      <c r="I3" s="80"/>
      <c r="J3" s="80"/>
      <c r="K3" s="81"/>
      <c r="L3" s="81"/>
      <c r="M3" s="93"/>
      <c r="N3" s="93"/>
      <c r="O3" s="86" t="s">
        <v>521</v>
      </c>
      <c r="Q3" s="83"/>
      <c r="R3" s="82"/>
      <c r="S3" s="84"/>
      <c r="T3" s="83"/>
      <c r="U3" s="83"/>
      <c r="V3" s="83"/>
    </row>
    <row r="4" spans="3:22" s="14" customFormat="1" ht="81" customHeight="1">
      <c r="C4" s="157" t="s">
        <v>518</v>
      </c>
      <c r="D4" s="157"/>
      <c r="E4" s="157"/>
      <c r="F4" s="157"/>
      <c r="G4" s="157"/>
      <c r="H4" s="157"/>
      <c r="I4" s="157"/>
      <c r="J4" s="157"/>
      <c r="K4" s="157"/>
      <c r="L4" s="157"/>
      <c r="M4" s="157"/>
      <c r="N4" s="157"/>
      <c r="O4" s="157"/>
      <c r="P4" s="157"/>
      <c r="Q4" s="157"/>
      <c r="R4" s="157"/>
      <c r="S4" s="157"/>
      <c r="T4" s="157"/>
      <c r="U4" s="157"/>
      <c r="V4" s="157"/>
    </row>
    <row r="5" spans="3:22" s="14" customFormat="1" ht="24" customHeight="1">
      <c r="C5" s="137"/>
      <c r="D5" s="137"/>
      <c r="E5" s="137"/>
      <c r="F5" s="137"/>
      <c r="G5" s="137"/>
      <c r="H5" s="137"/>
      <c r="I5" s="137"/>
      <c r="J5" s="137"/>
      <c r="K5" s="137"/>
      <c r="L5" s="137"/>
      <c r="M5" s="137"/>
      <c r="N5" s="137"/>
      <c r="O5" s="137"/>
      <c r="P5" s="137"/>
      <c r="Q5" s="137"/>
      <c r="R5" s="137"/>
      <c r="S5" s="137"/>
      <c r="T5" s="137"/>
      <c r="U5" s="137"/>
      <c r="V5" s="137"/>
    </row>
    <row r="6" spans="3:22" s="14" customFormat="1" ht="27" customHeight="1">
      <c r="C6" s="155" t="s">
        <v>476</v>
      </c>
      <c r="D6" s="155"/>
      <c r="E6" s="155"/>
      <c r="F6" s="155"/>
      <c r="G6" s="155"/>
      <c r="H6" s="155"/>
      <c r="I6" s="155"/>
      <c r="J6" s="155"/>
      <c r="K6" s="155"/>
      <c r="L6" s="155"/>
      <c r="M6" s="155"/>
      <c r="N6" s="155"/>
      <c r="O6" s="155"/>
      <c r="P6" s="155"/>
      <c r="Q6" s="155"/>
      <c r="R6" s="155"/>
      <c r="S6" s="155"/>
      <c r="T6" s="155"/>
      <c r="U6" s="155"/>
      <c r="V6" s="155"/>
    </row>
    <row r="7" spans="3:22" s="14" customFormat="1" ht="20.25" customHeight="1">
      <c r="C7" s="156" t="s">
        <v>477</v>
      </c>
      <c r="D7" s="156"/>
      <c r="E7" s="156"/>
      <c r="F7" s="156"/>
      <c r="G7" s="156"/>
      <c r="H7" s="156"/>
      <c r="I7" s="156"/>
      <c r="J7" s="156"/>
      <c r="K7" s="156"/>
      <c r="L7" s="156"/>
      <c r="M7" s="156"/>
      <c r="N7" s="156"/>
      <c r="O7" s="156"/>
      <c r="P7" s="156"/>
      <c r="Q7" s="156"/>
      <c r="R7" s="156"/>
      <c r="S7" s="156"/>
      <c r="T7" s="156"/>
      <c r="U7" s="156"/>
      <c r="V7" s="156"/>
    </row>
    <row r="8" spans="3:22" s="14" customFormat="1" ht="30" customHeight="1">
      <c r="C8" s="75"/>
      <c r="D8" s="75"/>
      <c r="E8" s="75"/>
      <c r="F8" s="76"/>
      <c r="G8" s="76"/>
      <c r="H8" s="76"/>
      <c r="I8" s="76"/>
      <c r="J8" s="76"/>
      <c r="K8" s="76"/>
      <c r="L8" s="94"/>
      <c r="M8" s="94"/>
      <c r="N8" s="94"/>
      <c r="O8" s="98"/>
      <c r="P8" s="76"/>
      <c r="Q8" s="76"/>
      <c r="S8" s="76"/>
      <c r="V8" s="76" t="s">
        <v>402</v>
      </c>
    </row>
    <row r="9" spans="3:22" s="14" customFormat="1" ht="24" customHeight="1">
      <c r="C9" s="158" t="s">
        <v>438</v>
      </c>
      <c r="D9" s="158" t="s">
        <v>437</v>
      </c>
      <c r="E9" s="158" t="s">
        <v>436</v>
      </c>
      <c r="F9" s="158" t="s">
        <v>361</v>
      </c>
      <c r="G9" s="161" t="s">
        <v>359</v>
      </c>
      <c r="H9" s="162"/>
      <c r="I9" s="162"/>
      <c r="J9" s="162"/>
      <c r="K9" s="163"/>
      <c r="L9" s="161" t="s">
        <v>360</v>
      </c>
      <c r="M9" s="162"/>
      <c r="N9" s="162"/>
      <c r="O9" s="162"/>
      <c r="P9" s="162"/>
      <c r="Q9" s="163"/>
      <c r="R9" s="164" t="s">
        <v>10</v>
      </c>
      <c r="S9" s="164"/>
      <c r="T9" s="164"/>
      <c r="U9" s="164"/>
      <c r="V9" s="164"/>
    </row>
    <row r="10" spans="3:22" s="14" customFormat="1" ht="24" customHeight="1">
      <c r="C10" s="159"/>
      <c r="D10" s="159"/>
      <c r="E10" s="159"/>
      <c r="F10" s="159"/>
      <c r="G10" s="158" t="s">
        <v>457</v>
      </c>
      <c r="H10" s="158" t="s">
        <v>458</v>
      </c>
      <c r="I10" s="164" t="s">
        <v>459</v>
      </c>
      <c r="J10" s="164" t="s">
        <v>403</v>
      </c>
      <c r="K10" s="158" t="s">
        <v>1</v>
      </c>
      <c r="L10" s="158" t="s">
        <v>457</v>
      </c>
      <c r="M10" s="158" t="s">
        <v>458</v>
      </c>
      <c r="N10" s="164" t="s">
        <v>459</v>
      </c>
      <c r="O10" s="102" t="s">
        <v>414</v>
      </c>
      <c r="P10" s="164" t="s">
        <v>406</v>
      </c>
      <c r="Q10" s="158"/>
      <c r="R10" s="158" t="s">
        <v>457</v>
      </c>
      <c r="S10" s="158" t="s">
        <v>458</v>
      </c>
      <c r="T10" s="164" t="s">
        <v>459</v>
      </c>
      <c r="U10" s="138" t="s">
        <v>414</v>
      </c>
      <c r="V10" s="164" t="s">
        <v>403</v>
      </c>
    </row>
    <row r="11" spans="3:22" s="14" customFormat="1" ht="24" customHeight="1">
      <c r="C11" s="159"/>
      <c r="D11" s="159"/>
      <c r="E11" s="159"/>
      <c r="F11" s="159"/>
      <c r="G11" s="159"/>
      <c r="H11" s="159"/>
      <c r="I11" s="164"/>
      <c r="J11" s="164"/>
      <c r="K11" s="159"/>
      <c r="L11" s="159"/>
      <c r="M11" s="159"/>
      <c r="N11" s="164"/>
      <c r="O11" s="165" t="s">
        <v>1</v>
      </c>
      <c r="P11" s="164"/>
      <c r="Q11" s="159"/>
      <c r="R11" s="159"/>
      <c r="S11" s="159"/>
      <c r="T11" s="164"/>
      <c r="U11" s="164" t="s">
        <v>1</v>
      </c>
      <c r="V11" s="164"/>
    </row>
    <row r="12" spans="3:22" s="14" customFormat="1" ht="24.75" customHeight="1">
      <c r="C12" s="160"/>
      <c r="D12" s="160"/>
      <c r="E12" s="160"/>
      <c r="F12" s="160"/>
      <c r="G12" s="160"/>
      <c r="H12" s="160"/>
      <c r="I12" s="164"/>
      <c r="J12" s="164"/>
      <c r="K12" s="160"/>
      <c r="L12" s="160"/>
      <c r="M12" s="160"/>
      <c r="N12" s="164"/>
      <c r="O12" s="166"/>
      <c r="P12" s="164"/>
      <c r="Q12" s="160"/>
      <c r="R12" s="160"/>
      <c r="S12" s="160"/>
      <c r="T12" s="164"/>
      <c r="U12" s="164"/>
      <c r="V12" s="164"/>
    </row>
    <row r="13" spans="3:22" s="14" customFormat="1" ht="24" customHeight="1">
      <c r="C13" s="2">
        <v>1</v>
      </c>
      <c r="D13" s="2">
        <v>2</v>
      </c>
      <c r="E13" s="2">
        <v>3</v>
      </c>
      <c r="F13" s="2">
        <v>4</v>
      </c>
      <c r="G13" s="2">
        <v>5</v>
      </c>
      <c r="H13" s="2">
        <v>6</v>
      </c>
      <c r="I13" s="2">
        <v>7</v>
      </c>
      <c r="J13" s="2">
        <v>8</v>
      </c>
      <c r="K13" s="2">
        <v>9</v>
      </c>
      <c r="L13" s="97">
        <v>9</v>
      </c>
      <c r="M13" s="97">
        <v>10</v>
      </c>
      <c r="N13" s="97">
        <v>11</v>
      </c>
      <c r="O13" s="101">
        <v>12</v>
      </c>
      <c r="P13" s="2">
        <v>13</v>
      </c>
      <c r="Q13" s="2">
        <v>15</v>
      </c>
      <c r="R13" s="2">
        <v>14</v>
      </c>
      <c r="S13" s="15" t="s">
        <v>405</v>
      </c>
      <c r="T13" s="16">
        <v>16</v>
      </c>
      <c r="U13" s="16">
        <v>17</v>
      </c>
      <c r="V13" s="16">
        <v>18</v>
      </c>
    </row>
    <row r="14" spans="3:21" s="17" customFormat="1" ht="42.75" customHeight="1">
      <c r="C14" s="18" t="s">
        <v>277</v>
      </c>
      <c r="D14" s="18"/>
      <c r="E14" s="18"/>
      <c r="F14" s="19" t="s">
        <v>362</v>
      </c>
      <c r="G14" s="103"/>
      <c r="H14" s="103"/>
      <c r="I14" s="103"/>
      <c r="J14" s="3"/>
      <c r="K14" s="3"/>
      <c r="L14" s="103"/>
      <c r="M14" s="103"/>
      <c r="N14" s="103"/>
      <c r="O14" s="117"/>
      <c r="P14" s="3"/>
      <c r="Q14" s="3"/>
      <c r="R14" s="103"/>
      <c r="S14" s="103"/>
      <c r="T14" s="106"/>
      <c r="U14" s="106"/>
    </row>
    <row r="15" spans="3:21" s="20" customFormat="1" ht="39" customHeight="1" hidden="1">
      <c r="C15" s="21" t="s">
        <v>278</v>
      </c>
      <c r="D15" s="21"/>
      <c r="E15" s="21"/>
      <c r="F15" s="22" t="s">
        <v>362</v>
      </c>
      <c r="G15" s="104"/>
      <c r="H15" s="105"/>
      <c r="I15" s="104"/>
      <c r="J15" s="4" t="s">
        <v>15</v>
      </c>
      <c r="K15" s="4"/>
      <c r="L15" s="104"/>
      <c r="M15" s="104"/>
      <c r="N15" s="104"/>
      <c r="O15" s="118"/>
      <c r="P15" s="4"/>
      <c r="Q15" s="4"/>
      <c r="R15" s="104"/>
      <c r="S15" s="104"/>
      <c r="T15" s="129"/>
      <c r="U15" s="129"/>
    </row>
    <row r="16" spans="1:22" s="17" customFormat="1" ht="66" customHeight="1">
      <c r="A16" s="17">
        <v>1</v>
      </c>
      <c r="B16" s="17">
        <v>1</v>
      </c>
      <c r="C16" s="23" t="s">
        <v>279</v>
      </c>
      <c r="D16" s="23" t="s">
        <v>89</v>
      </c>
      <c r="E16" s="23" t="s">
        <v>29</v>
      </c>
      <c r="F16" s="24" t="s">
        <v>375</v>
      </c>
      <c r="G16" s="103">
        <f>G17+G18</f>
        <v>25485714.48</v>
      </c>
      <c r="H16" s="103">
        <f>H17+H18</f>
        <v>24246248.38</v>
      </c>
      <c r="I16" s="103">
        <f>I17+I18</f>
        <v>25374689.86</v>
      </c>
      <c r="J16" s="25">
        <f>I16/G16*100</f>
        <v>99.56436528359004</v>
      </c>
      <c r="K16" s="1"/>
      <c r="L16" s="103">
        <f>L17+L18</f>
        <v>293695.56</v>
      </c>
      <c r="M16" s="103">
        <f>M17+M18</f>
        <v>420985.54</v>
      </c>
      <c r="N16" s="103">
        <f>N17+N18</f>
        <v>282472.56</v>
      </c>
      <c r="O16" s="103">
        <f>O17+O18</f>
        <v>280077</v>
      </c>
      <c r="P16" s="25">
        <f>N16/L16*100</f>
        <v>96.1786960620038</v>
      </c>
      <c r="Q16" s="1"/>
      <c r="R16" s="103">
        <f>G16+L16</f>
        <v>25779410.04</v>
      </c>
      <c r="S16" s="103">
        <f>H16+M16</f>
        <v>24667233.919999998</v>
      </c>
      <c r="T16" s="106">
        <f>I16+N16</f>
        <v>25657162.419999998</v>
      </c>
      <c r="U16" s="106">
        <f>O16</f>
        <v>280077</v>
      </c>
      <c r="V16" s="26">
        <f>T16/R16*100</f>
        <v>99.52579357009986</v>
      </c>
    </row>
    <row r="17" spans="3:22" s="17" customFormat="1" ht="24" customHeight="1">
      <c r="C17" s="23"/>
      <c r="D17" s="23"/>
      <c r="E17" s="23"/>
      <c r="F17" s="60" t="s">
        <v>463</v>
      </c>
      <c r="G17" s="103">
        <v>25283914.48</v>
      </c>
      <c r="H17" s="139">
        <v>24096948.38</v>
      </c>
      <c r="I17" s="103">
        <v>25176326.86</v>
      </c>
      <c r="J17" s="25">
        <f aca="true" t="shared" si="0" ref="J17:J85">I17/G17*100</f>
        <v>99.57448194944219</v>
      </c>
      <c r="K17" s="1"/>
      <c r="L17" s="103">
        <v>293695.56</v>
      </c>
      <c r="M17" s="103">
        <v>420985.54</v>
      </c>
      <c r="N17" s="103">
        <v>282472.56</v>
      </c>
      <c r="O17" s="117">
        <v>280077</v>
      </c>
      <c r="P17" s="25">
        <f>N17/L17*100</f>
        <v>96.1786960620038</v>
      </c>
      <c r="Q17" s="1"/>
      <c r="R17" s="103">
        <f>G17+L17</f>
        <v>25577610.04</v>
      </c>
      <c r="S17" s="103">
        <f aca="true" t="shared" si="1" ref="S17:S85">H17+M17</f>
        <v>24517933.919999998</v>
      </c>
      <c r="T17" s="106">
        <f aca="true" t="shared" si="2" ref="T17:T85">I17+N17</f>
        <v>25458799.419999998</v>
      </c>
      <c r="U17" s="106">
        <f aca="true" t="shared" si="3" ref="U17:U85">O17</f>
        <v>280077</v>
      </c>
      <c r="V17" s="26">
        <f aca="true" t="shared" si="4" ref="V17:V85">T17/R17*100</f>
        <v>99.53548975133253</v>
      </c>
    </row>
    <row r="18" spans="3:22" s="17" customFormat="1" ht="55.5" customHeight="1">
      <c r="C18" s="23"/>
      <c r="D18" s="23"/>
      <c r="E18" s="23"/>
      <c r="F18" s="28" t="s">
        <v>306</v>
      </c>
      <c r="G18" s="103">
        <v>201800</v>
      </c>
      <c r="H18" s="139">
        <v>149300</v>
      </c>
      <c r="I18" s="103">
        <v>198363</v>
      </c>
      <c r="J18" s="25">
        <f t="shared" si="0"/>
        <v>98.29682854311199</v>
      </c>
      <c r="K18" s="1"/>
      <c r="L18" s="103"/>
      <c r="M18" s="103"/>
      <c r="N18" s="103"/>
      <c r="O18" s="117"/>
      <c r="P18" s="25"/>
      <c r="Q18" s="1"/>
      <c r="R18" s="103">
        <f aca="true" t="shared" si="5" ref="R18:R85">G18+L18</f>
        <v>201800</v>
      </c>
      <c r="S18" s="103">
        <f t="shared" si="1"/>
        <v>149300</v>
      </c>
      <c r="T18" s="106">
        <f t="shared" si="2"/>
        <v>198363</v>
      </c>
      <c r="U18" s="106">
        <f t="shared" si="3"/>
        <v>0</v>
      </c>
      <c r="V18" s="26">
        <f t="shared" si="4"/>
        <v>98.29682854311199</v>
      </c>
    </row>
    <row r="19" spans="3:22" s="20" customFormat="1" ht="29.25" customHeight="1">
      <c r="C19" s="23" t="s">
        <v>292</v>
      </c>
      <c r="D19" s="23" t="s">
        <v>28</v>
      </c>
      <c r="E19" s="23" t="s">
        <v>40</v>
      </c>
      <c r="F19" s="24" t="s">
        <v>293</v>
      </c>
      <c r="G19" s="107">
        <f>SUM(G20:G21)</f>
        <v>65450</v>
      </c>
      <c r="H19" s="106">
        <f>H20+H21</f>
        <v>156800</v>
      </c>
      <c r="I19" s="107">
        <f aca="true" t="shared" si="6" ref="I19:Q19">SUM(I20:I21)</f>
        <v>45176.71000000001</v>
      </c>
      <c r="J19" s="25">
        <f t="shared" si="0"/>
        <v>69.02476699770818</v>
      </c>
      <c r="K19" s="5">
        <f t="shared" si="6"/>
        <v>0</v>
      </c>
      <c r="L19" s="107">
        <f t="shared" si="6"/>
        <v>0</v>
      </c>
      <c r="M19" s="107">
        <f t="shared" si="6"/>
        <v>0</v>
      </c>
      <c r="N19" s="107">
        <f t="shared" si="6"/>
        <v>0</v>
      </c>
      <c r="O19" s="119">
        <f t="shared" si="6"/>
        <v>0</v>
      </c>
      <c r="P19" s="25"/>
      <c r="Q19" s="5">
        <f t="shared" si="6"/>
        <v>0</v>
      </c>
      <c r="R19" s="103">
        <f t="shared" si="5"/>
        <v>65450</v>
      </c>
      <c r="S19" s="103">
        <f t="shared" si="1"/>
        <v>156800</v>
      </c>
      <c r="T19" s="106">
        <f t="shared" si="2"/>
        <v>45176.71000000001</v>
      </c>
      <c r="U19" s="106">
        <f t="shared" si="3"/>
        <v>0</v>
      </c>
      <c r="V19" s="26">
        <f t="shared" si="4"/>
        <v>69.02476699770818</v>
      </c>
    </row>
    <row r="20" spans="3:22" s="20" customFormat="1" ht="52.5" customHeight="1">
      <c r="C20" s="27"/>
      <c r="D20" s="27"/>
      <c r="E20" s="27"/>
      <c r="F20" s="28" t="s">
        <v>386</v>
      </c>
      <c r="G20" s="103">
        <v>8000</v>
      </c>
      <c r="H20" s="139">
        <v>10000</v>
      </c>
      <c r="I20" s="103">
        <v>4469.8</v>
      </c>
      <c r="J20" s="25">
        <f t="shared" si="0"/>
        <v>55.8725</v>
      </c>
      <c r="K20" s="6"/>
      <c r="L20" s="103"/>
      <c r="M20" s="104"/>
      <c r="N20" s="120"/>
      <c r="O20" s="118"/>
      <c r="P20" s="25"/>
      <c r="Q20" s="6"/>
      <c r="R20" s="103">
        <f t="shared" si="5"/>
        <v>8000</v>
      </c>
      <c r="S20" s="103">
        <f t="shared" si="1"/>
        <v>10000</v>
      </c>
      <c r="T20" s="106">
        <f t="shared" si="2"/>
        <v>4469.8</v>
      </c>
      <c r="U20" s="106">
        <f t="shared" si="3"/>
        <v>0</v>
      </c>
      <c r="V20" s="26">
        <f t="shared" si="4"/>
        <v>55.8725</v>
      </c>
    </row>
    <row r="21" spans="3:22" s="20" customFormat="1" ht="25.5" customHeight="1">
      <c r="C21" s="27"/>
      <c r="D21" s="27"/>
      <c r="E21" s="27"/>
      <c r="F21" s="28" t="s">
        <v>297</v>
      </c>
      <c r="G21" s="103">
        <v>57450</v>
      </c>
      <c r="H21" s="139">
        <v>146800</v>
      </c>
      <c r="I21" s="103">
        <v>40706.91</v>
      </c>
      <c r="J21" s="25">
        <f t="shared" si="0"/>
        <v>70.85624020887728</v>
      </c>
      <c r="K21" s="6"/>
      <c r="L21" s="103"/>
      <c r="M21" s="104"/>
      <c r="N21" s="120"/>
      <c r="O21" s="118"/>
      <c r="P21" s="25"/>
      <c r="Q21" s="6"/>
      <c r="R21" s="103">
        <f t="shared" si="5"/>
        <v>57450</v>
      </c>
      <c r="S21" s="103">
        <f t="shared" si="1"/>
        <v>146800</v>
      </c>
      <c r="T21" s="106">
        <f t="shared" si="2"/>
        <v>40706.91</v>
      </c>
      <c r="U21" s="106">
        <f t="shared" si="3"/>
        <v>0</v>
      </c>
      <c r="V21" s="26">
        <f t="shared" si="4"/>
        <v>70.85624020887728</v>
      </c>
    </row>
    <row r="22" spans="3:22" s="17" customFormat="1" ht="25.5" customHeight="1">
      <c r="C22" s="23" t="s">
        <v>499</v>
      </c>
      <c r="D22" s="135" t="s">
        <v>497</v>
      </c>
      <c r="E22" s="135"/>
      <c r="F22" s="133" t="s">
        <v>498</v>
      </c>
      <c r="G22" s="103">
        <f>G23</f>
        <v>1382372</v>
      </c>
      <c r="H22" s="103">
        <f>H23</f>
        <v>218251</v>
      </c>
      <c r="I22" s="103">
        <f>I23</f>
        <v>1382212</v>
      </c>
      <c r="J22" s="25">
        <f t="shared" si="0"/>
        <v>99.9884256914926</v>
      </c>
      <c r="K22" s="1"/>
      <c r="L22" s="103"/>
      <c r="M22" s="103"/>
      <c r="N22" s="121"/>
      <c r="O22" s="117"/>
      <c r="P22" s="25"/>
      <c r="Q22" s="1"/>
      <c r="R22" s="103">
        <f aca="true" t="shared" si="7" ref="R22:T23">G22+L22</f>
        <v>1382372</v>
      </c>
      <c r="S22" s="103">
        <f t="shared" si="7"/>
        <v>218251</v>
      </c>
      <c r="T22" s="106">
        <f t="shared" si="7"/>
        <v>1382212</v>
      </c>
      <c r="U22" s="106">
        <f>O22</f>
        <v>0</v>
      </c>
      <c r="V22" s="26">
        <f>T22/R22*100</f>
        <v>99.9884256914926</v>
      </c>
    </row>
    <row r="23" spans="3:22" s="20" customFormat="1" ht="56.25" customHeight="1">
      <c r="C23" s="27"/>
      <c r="D23" s="135"/>
      <c r="E23" s="149"/>
      <c r="F23" s="90" t="s">
        <v>511</v>
      </c>
      <c r="G23" s="103">
        <v>1382372</v>
      </c>
      <c r="H23" s="139">
        <v>218251</v>
      </c>
      <c r="I23" s="103">
        <v>1382212</v>
      </c>
      <c r="J23" s="25">
        <f t="shared" si="0"/>
        <v>99.9884256914926</v>
      </c>
      <c r="K23" s="6"/>
      <c r="L23" s="103"/>
      <c r="M23" s="104"/>
      <c r="N23" s="120"/>
      <c r="O23" s="118"/>
      <c r="P23" s="25"/>
      <c r="Q23" s="6"/>
      <c r="R23" s="103">
        <f t="shared" si="7"/>
        <v>1382372</v>
      </c>
      <c r="S23" s="103">
        <f t="shared" si="7"/>
        <v>218251</v>
      </c>
      <c r="T23" s="106">
        <f t="shared" si="7"/>
        <v>1382212</v>
      </c>
      <c r="U23" s="106">
        <f>O23</f>
        <v>0</v>
      </c>
      <c r="V23" s="26">
        <f>T23/R23*100</f>
        <v>99.9884256914926</v>
      </c>
    </row>
    <row r="24" spans="3:22" s="17" customFormat="1" ht="27" customHeight="1">
      <c r="C24" s="23" t="s">
        <v>357</v>
      </c>
      <c r="D24" s="23" t="s">
        <v>109</v>
      </c>
      <c r="E24" s="23" t="s">
        <v>31</v>
      </c>
      <c r="F24" s="32" t="s">
        <v>25</v>
      </c>
      <c r="G24" s="103">
        <f>G25</f>
        <v>11000</v>
      </c>
      <c r="H24" s="103"/>
      <c r="I24" s="103">
        <f>I25</f>
        <v>9336.86</v>
      </c>
      <c r="J24" s="25">
        <f t="shared" si="0"/>
        <v>84.88054545454547</v>
      </c>
      <c r="K24" s="5">
        <f>K25</f>
        <v>0</v>
      </c>
      <c r="L24" s="103"/>
      <c r="M24" s="107">
        <f>M25</f>
        <v>0</v>
      </c>
      <c r="N24" s="107">
        <f>N25</f>
        <v>0</v>
      </c>
      <c r="O24" s="119">
        <f>O25</f>
        <v>0</v>
      </c>
      <c r="P24" s="25"/>
      <c r="Q24" s="5">
        <f>Q25</f>
        <v>0</v>
      </c>
      <c r="R24" s="103">
        <f t="shared" si="5"/>
        <v>11000</v>
      </c>
      <c r="S24" s="103">
        <f t="shared" si="1"/>
        <v>0</v>
      </c>
      <c r="T24" s="106">
        <f t="shared" si="2"/>
        <v>9336.86</v>
      </c>
      <c r="U24" s="106">
        <f t="shared" si="3"/>
        <v>0</v>
      </c>
      <c r="V24" s="26">
        <f t="shared" si="4"/>
        <v>84.88054545454547</v>
      </c>
    </row>
    <row r="25" spans="3:22" s="17" customFormat="1" ht="42" customHeight="1">
      <c r="C25" s="23"/>
      <c r="D25" s="23"/>
      <c r="E25" s="23"/>
      <c r="F25" s="33" t="s">
        <v>352</v>
      </c>
      <c r="G25" s="103">
        <v>11000</v>
      </c>
      <c r="H25" s="103"/>
      <c r="I25" s="103">
        <v>9336.86</v>
      </c>
      <c r="J25" s="25">
        <f t="shared" si="0"/>
        <v>84.88054545454547</v>
      </c>
      <c r="K25" s="1"/>
      <c r="L25" s="103"/>
      <c r="M25" s="103"/>
      <c r="N25" s="121"/>
      <c r="O25" s="117"/>
      <c r="P25" s="25"/>
      <c r="Q25" s="1"/>
      <c r="R25" s="103">
        <f t="shared" si="5"/>
        <v>11000</v>
      </c>
      <c r="S25" s="103">
        <f t="shared" si="1"/>
        <v>0</v>
      </c>
      <c r="T25" s="106">
        <f t="shared" si="2"/>
        <v>9336.86</v>
      </c>
      <c r="U25" s="106">
        <f t="shared" si="3"/>
        <v>0</v>
      </c>
      <c r="V25" s="26">
        <f t="shared" si="4"/>
        <v>84.88054545454547</v>
      </c>
    </row>
    <row r="26" spans="3:22" s="17" customFormat="1" ht="30" customHeight="1">
      <c r="C26" s="23" t="s">
        <v>294</v>
      </c>
      <c r="D26" s="23" t="s">
        <v>295</v>
      </c>
      <c r="E26" s="23" t="s">
        <v>30</v>
      </c>
      <c r="F26" s="34" t="s">
        <v>296</v>
      </c>
      <c r="G26" s="103">
        <f>G27+G28</f>
        <v>279900</v>
      </c>
      <c r="H26" s="103">
        <f>H27+H28</f>
        <v>229900</v>
      </c>
      <c r="I26" s="103">
        <f>I27+I28</f>
        <v>279821</v>
      </c>
      <c r="J26" s="25">
        <f t="shared" si="0"/>
        <v>99.97177563415505</v>
      </c>
      <c r="K26" s="5">
        <f>K28</f>
        <v>0</v>
      </c>
      <c r="L26" s="103"/>
      <c r="M26" s="107">
        <f>M28</f>
        <v>0</v>
      </c>
      <c r="N26" s="107">
        <f>N28</f>
        <v>0</v>
      </c>
      <c r="O26" s="119">
        <f>O28</f>
        <v>0</v>
      </c>
      <c r="P26" s="25"/>
      <c r="Q26" s="5">
        <f>Q28</f>
        <v>0</v>
      </c>
      <c r="R26" s="103">
        <f t="shared" si="5"/>
        <v>279900</v>
      </c>
      <c r="S26" s="103">
        <f t="shared" si="1"/>
        <v>229900</v>
      </c>
      <c r="T26" s="106">
        <f t="shared" si="2"/>
        <v>279821</v>
      </c>
      <c r="U26" s="106">
        <f t="shared" si="3"/>
        <v>0</v>
      </c>
      <c r="V26" s="26">
        <f t="shared" si="4"/>
        <v>99.97177563415505</v>
      </c>
    </row>
    <row r="27" spans="3:22" s="17" customFormat="1" ht="55.5" customHeight="1">
      <c r="C27" s="23"/>
      <c r="D27" s="23"/>
      <c r="E27" s="23"/>
      <c r="F27" s="131" t="s">
        <v>446</v>
      </c>
      <c r="G27" s="103">
        <v>250000</v>
      </c>
      <c r="H27" s="139">
        <v>200000</v>
      </c>
      <c r="I27" s="107">
        <v>250000</v>
      </c>
      <c r="J27" s="25">
        <f t="shared" si="0"/>
        <v>100</v>
      </c>
      <c r="K27" s="5"/>
      <c r="L27" s="103"/>
      <c r="M27" s="107"/>
      <c r="N27" s="107"/>
      <c r="O27" s="119"/>
      <c r="P27" s="25"/>
      <c r="Q27" s="5"/>
      <c r="R27" s="103">
        <f t="shared" si="5"/>
        <v>250000</v>
      </c>
      <c r="S27" s="103">
        <f t="shared" si="1"/>
        <v>200000</v>
      </c>
      <c r="T27" s="106">
        <f t="shared" si="2"/>
        <v>250000</v>
      </c>
      <c r="U27" s="106">
        <f t="shared" si="3"/>
        <v>0</v>
      </c>
      <c r="V27" s="26">
        <f t="shared" si="4"/>
        <v>100</v>
      </c>
    </row>
    <row r="28" spans="3:22" s="17" customFormat="1" ht="31.5" customHeight="1">
      <c r="C28" s="23"/>
      <c r="D28" s="23"/>
      <c r="E28" s="23"/>
      <c r="F28" s="28" t="s">
        <v>297</v>
      </c>
      <c r="G28" s="103">
        <v>29900</v>
      </c>
      <c r="H28" s="139">
        <v>29900</v>
      </c>
      <c r="I28" s="103">
        <v>29821</v>
      </c>
      <c r="J28" s="25">
        <f t="shared" si="0"/>
        <v>99.73578595317726</v>
      </c>
      <c r="K28" s="1"/>
      <c r="L28" s="103"/>
      <c r="M28" s="103"/>
      <c r="N28" s="121"/>
      <c r="O28" s="117"/>
      <c r="P28" s="25"/>
      <c r="Q28" s="1"/>
      <c r="R28" s="103">
        <f t="shared" si="5"/>
        <v>29900</v>
      </c>
      <c r="S28" s="103">
        <f t="shared" si="1"/>
        <v>29900</v>
      </c>
      <c r="T28" s="106">
        <f t="shared" si="2"/>
        <v>29821</v>
      </c>
      <c r="U28" s="106">
        <f t="shared" si="3"/>
        <v>0</v>
      </c>
      <c r="V28" s="26">
        <f t="shared" si="4"/>
        <v>99.73578595317726</v>
      </c>
    </row>
    <row r="29" spans="3:22" s="17" customFormat="1" ht="29.25" customHeight="1">
      <c r="C29" s="23" t="s">
        <v>286</v>
      </c>
      <c r="D29" s="23" t="s">
        <v>112</v>
      </c>
      <c r="E29" s="23" t="s">
        <v>66</v>
      </c>
      <c r="F29" s="24" t="s">
        <v>113</v>
      </c>
      <c r="G29" s="107">
        <f>G31+G30</f>
        <v>28073.9</v>
      </c>
      <c r="H29" s="107">
        <f>H31+H30</f>
        <v>115700</v>
      </c>
      <c r="I29" s="107">
        <f>I31+I30</f>
        <v>28062.72</v>
      </c>
      <c r="J29" s="25">
        <f t="shared" si="0"/>
        <v>99.96017653407613</v>
      </c>
      <c r="K29" s="5">
        <f>K31</f>
        <v>0</v>
      </c>
      <c r="L29" s="107"/>
      <c r="M29" s="107">
        <f>M31</f>
        <v>0</v>
      </c>
      <c r="N29" s="107">
        <f>N31</f>
        <v>0</v>
      </c>
      <c r="O29" s="119">
        <f>O31</f>
        <v>0</v>
      </c>
      <c r="P29" s="25"/>
      <c r="Q29" s="5">
        <f>Q31</f>
        <v>0</v>
      </c>
      <c r="R29" s="103">
        <f t="shared" si="5"/>
        <v>28073.9</v>
      </c>
      <c r="S29" s="103">
        <f t="shared" si="1"/>
        <v>115700</v>
      </c>
      <c r="T29" s="106">
        <f t="shared" si="2"/>
        <v>28062.72</v>
      </c>
      <c r="U29" s="106">
        <f t="shared" si="3"/>
        <v>0</v>
      </c>
      <c r="V29" s="26">
        <f t="shared" si="4"/>
        <v>99.96017653407613</v>
      </c>
    </row>
    <row r="30" spans="3:22" s="17" customFormat="1" ht="42.75" customHeight="1">
      <c r="C30" s="23"/>
      <c r="D30" s="23"/>
      <c r="E30" s="23"/>
      <c r="F30" s="89" t="s">
        <v>143</v>
      </c>
      <c r="G30" s="107">
        <v>15930</v>
      </c>
      <c r="H30" s="139">
        <v>30100</v>
      </c>
      <c r="I30" s="107">
        <v>15924</v>
      </c>
      <c r="J30" s="25">
        <f t="shared" si="0"/>
        <v>99.96233521657251</v>
      </c>
      <c r="K30" s="5"/>
      <c r="L30" s="107"/>
      <c r="M30" s="107"/>
      <c r="N30" s="107"/>
      <c r="O30" s="119"/>
      <c r="P30" s="25"/>
      <c r="Q30" s="5"/>
      <c r="R30" s="103">
        <f t="shared" si="5"/>
        <v>15930</v>
      </c>
      <c r="S30" s="103">
        <f t="shared" si="1"/>
        <v>30100</v>
      </c>
      <c r="T30" s="106">
        <f t="shared" si="2"/>
        <v>15924</v>
      </c>
      <c r="U30" s="106">
        <f t="shared" si="3"/>
        <v>0</v>
      </c>
      <c r="V30" s="26">
        <f t="shared" si="4"/>
        <v>99.96233521657251</v>
      </c>
    </row>
    <row r="31" spans="3:22" s="17" customFormat="1" ht="40.5" customHeight="1">
      <c r="C31" s="27"/>
      <c r="D31" s="27"/>
      <c r="E31" s="23"/>
      <c r="F31" s="31" t="s">
        <v>351</v>
      </c>
      <c r="G31" s="103">
        <v>12143.9</v>
      </c>
      <c r="H31" s="139">
        <v>85600</v>
      </c>
      <c r="I31" s="103">
        <v>12138.72</v>
      </c>
      <c r="J31" s="25">
        <f t="shared" si="0"/>
        <v>99.95734483979611</v>
      </c>
      <c r="K31" s="1"/>
      <c r="L31" s="103"/>
      <c r="M31" s="104"/>
      <c r="N31" s="120"/>
      <c r="O31" s="118"/>
      <c r="P31" s="25"/>
      <c r="Q31" s="6"/>
      <c r="R31" s="103">
        <f t="shared" si="5"/>
        <v>12143.9</v>
      </c>
      <c r="S31" s="103">
        <f t="shared" si="1"/>
        <v>85600</v>
      </c>
      <c r="T31" s="106">
        <f t="shared" si="2"/>
        <v>12138.72</v>
      </c>
      <c r="U31" s="106">
        <f t="shared" si="3"/>
        <v>0</v>
      </c>
      <c r="V31" s="26">
        <f t="shared" si="4"/>
        <v>99.95734483979611</v>
      </c>
    </row>
    <row r="32" spans="3:22" s="17" customFormat="1" ht="43.5" customHeight="1" hidden="1">
      <c r="C32" s="23"/>
      <c r="D32" s="23"/>
      <c r="E32" s="23"/>
      <c r="F32" s="24"/>
      <c r="G32" s="107"/>
      <c r="H32" s="107"/>
      <c r="I32" s="107"/>
      <c r="J32" s="25" t="e">
        <f t="shared" si="0"/>
        <v>#DIV/0!</v>
      </c>
      <c r="K32" s="5"/>
      <c r="L32" s="107"/>
      <c r="M32" s="107"/>
      <c r="N32" s="107"/>
      <c r="O32" s="119"/>
      <c r="P32" s="25" t="e">
        <f aca="true" t="shared" si="8" ref="P32:P37">N32/L32*100</f>
        <v>#DIV/0!</v>
      </c>
      <c r="Q32" s="6"/>
      <c r="R32" s="103">
        <f t="shared" si="5"/>
        <v>0</v>
      </c>
      <c r="S32" s="103">
        <f t="shared" si="1"/>
        <v>0</v>
      </c>
      <c r="T32" s="106">
        <f t="shared" si="2"/>
        <v>0</v>
      </c>
      <c r="U32" s="106">
        <f t="shared" si="3"/>
        <v>0</v>
      </c>
      <c r="V32" s="26" t="e">
        <f t="shared" si="4"/>
        <v>#DIV/0!</v>
      </c>
    </row>
    <row r="33" spans="3:22" s="17" customFormat="1" ht="29.25" customHeight="1" hidden="1">
      <c r="C33" s="23"/>
      <c r="D33" s="23"/>
      <c r="E33" s="23"/>
      <c r="F33" s="31"/>
      <c r="G33" s="103"/>
      <c r="H33" s="103"/>
      <c r="I33" s="103"/>
      <c r="J33" s="25" t="e">
        <f t="shared" si="0"/>
        <v>#DIV/0!</v>
      </c>
      <c r="K33" s="1"/>
      <c r="L33" s="103"/>
      <c r="M33" s="104"/>
      <c r="N33" s="120"/>
      <c r="O33" s="118"/>
      <c r="P33" s="25" t="e">
        <f t="shared" si="8"/>
        <v>#DIV/0!</v>
      </c>
      <c r="Q33" s="6"/>
      <c r="R33" s="103">
        <f t="shared" si="5"/>
        <v>0</v>
      </c>
      <c r="S33" s="103">
        <f t="shared" si="1"/>
        <v>0</v>
      </c>
      <c r="T33" s="106">
        <f t="shared" si="2"/>
        <v>0</v>
      </c>
      <c r="U33" s="106">
        <f t="shared" si="3"/>
        <v>0</v>
      </c>
      <c r="V33" s="26" t="e">
        <f t="shared" si="4"/>
        <v>#DIV/0!</v>
      </c>
    </row>
    <row r="34" spans="3:22" s="17" customFormat="1" ht="15" hidden="1">
      <c r="C34" s="23" t="s">
        <v>356</v>
      </c>
      <c r="D34" s="23" t="s">
        <v>110</v>
      </c>
      <c r="E34" s="23" t="s">
        <v>28</v>
      </c>
      <c r="F34" s="35" t="s">
        <v>111</v>
      </c>
      <c r="G34" s="103">
        <f>H34+K34</f>
        <v>0</v>
      </c>
      <c r="H34" s="107">
        <f>SUM(H35:H36)</f>
        <v>0</v>
      </c>
      <c r="I34" s="107">
        <f>SUM(I35:I36)</f>
        <v>0</v>
      </c>
      <c r="J34" s="25" t="e">
        <f t="shared" si="0"/>
        <v>#DIV/0!</v>
      </c>
      <c r="K34" s="5">
        <f>SUM(K35:K36)</f>
        <v>0</v>
      </c>
      <c r="L34" s="103">
        <f>N34+Q34</f>
        <v>0</v>
      </c>
      <c r="M34" s="103"/>
      <c r="N34" s="112">
        <f>SUM(N35:N36)</f>
        <v>0</v>
      </c>
      <c r="O34" s="122">
        <f>SUM(O35:O36)</f>
        <v>0</v>
      </c>
      <c r="P34" s="25" t="e">
        <f t="shared" si="8"/>
        <v>#DIV/0!</v>
      </c>
      <c r="Q34" s="36">
        <f>SUM(Q35:Q36)</f>
        <v>0</v>
      </c>
      <c r="R34" s="103">
        <f t="shared" si="5"/>
        <v>0</v>
      </c>
      <c r="S34" s="103">
        <f t="shared" si="1"/>
        <v>0</v>
      </c>
      <c r="T34" s="106">
        <f t="shared" si="2"/>
        <v>0</v>
      </c>
      <c r="U34" s="106">
        <f t="shared" si="3"/>
        <v>0</v>
      </c>
      <c r="V34" s="26" t="e">
        <f t="shared" si="4"/>
        <v>#DIV/0!</v>
      </c>
    </row>
    <row r="35" spans="3:22" s="17" customFormat="1" ht="30.75" hidden="1">
      <c r="C35" s="23"/>
      <c r="D35" s="23"/>
      <c r="E35" s="23"/>
      <c r="F35" s="37" t="s">
        <v>363</v>
      </c>
      <c r="G35" s="103">
        <f>H35+K35</f>
        <v>0</v>
      </c>
      <c r="H35" s="103"/>
      <c r="I35" s="103"/>
      <c r="J35" s="25" t="e">
        <f t="shared" si="0"/>
        <v>#DIV/0!</v>
      </c>
      <c r="K35" s="1"/>
      <c r="L35" s="103">
        <f>N35+Q35</f>
        <v>0</v>
      </c>
      <c r="M35" s="103"/>
      <c r="N35" s="103"/>
      <c r="O35" s="117"/>
      <c r="P35" s="25" t="e">
        <f t="shared" si="8"/>
        <v>#DIV/0!</v>
      </c>
      <c r="Q35" s="1"/>
      <c r="R35" s="103">
        <f t="shared" si="5"/>
        <v>0</v>
      </c>
      <c r="S35" s="103">
        <f t="shared" si="1"/>
        <v>0</v>
      </c>
      <c r="T35" s="106">
        <f t="shared" si="2"/>
        <v>0</v>
      </c>
      <c r="U35" s="106">
        <f t="shared" si="3"/>
        <v>0</v>
      </c>
      <c r="V35" s="26" t="e">
        <f t="shared" si="4"/>
        <v>#DIV/0!</v>
      </c>
    </row>
    <row r="36" spans="3:22" s="17" customFormat="1" ht="30.75" hidden="1">
      <c r="C36" s="23"/>
      <c r="D36" s="23"/>
      <c r="E36" s="23"/>
      <c r="F36" s="37" t="s">
        <v>71</v>
      </c>
      <c r="G36" s="103">
        <f>H36+K36</f>
        <v>0</v>
      </c>
      <c r="H36" s="103"/>
      <c r="I36" s="103"/>
      <c r="J36" s="25" t="e">
        <f t="shared" si="0"/>
        <v>#DIV/0!</v>
      </c>
      <c r="K36" s="1"/>
      <c r="L36" s="104">
        <f>N36+Q36</f>
        <v>0</v>
      </c>
      <c r="M36" s="104"/>
      <c r="N36" s="104"/>
      <c r="O36" s="118"/>
      <c r="P36" s="25" t="e">
        <f t="shared" si="8"/>
        <v>#DIV/0!</v>
      </c>
      <c r="Q36" s="6"/>
      <c r="R36" s="103">
        <f t="shared" si="5"/>
        <v>0</v>
      </c>
      <c r="S36" s="103">
        <f t="shared" si="1"/>
        <v>0</v>
      </c>
      <c r="T36" s="106">
        <f t="shared" si="2"/>
        <v>0</v>
      </c>
      <c r="U36" s="106">
        <f t="shared" si="3"/>
        <v>0</v>
      </c>
      <c r="V36" s="26" t="e">
        <f t="shared" si="4"/>
        <v>#DIV/0!</v>
      </c>
    </row>
    <row r="37" spans="3:22" s="17" customFormat="1" ht="31.5" customHeight="1">
      <c r="C37" s="23"/>
      <c r="D37" s="23"/>
      <c r="E37" s="23"/>
      <c r="F37" s="38" t="s">
        <v>5</v>
      </c>
      <c r="G37" s="108">
        <f>G16+G19+G24+G26+G29+G34+G32+G22</f>
        <v>27252510.38</v>
      </c>
      <c r="H37" s="108">
        <f>H16+H19+H24+H26+H29+H34+H32+H22</f>
        <v>24966899.38</v>
      </c>
      <c r="I37" s="108">
        <f>I16+I19+I24+I26+I29+I34+I32+I22</f>
        <v>27119299.15</v>
      </c>
      <c r="J37" s="25">
        <f t="shared" si="0"/>
        <v>99.51119648009468</v>
      </c>
      <c r="K37" s="7" t="e">
        <f>K16+K19+#REF!+K24+K26+K29+K34+K32</f>
        <v>#REF!</v>
      </c>
      <c r="L37" s="108">
        <f>L16+L19+L24+L26+L29+L34+L32</f>
        <v>293695.56</v>
      </c>
      <c r="M37" s="108">
        <f>M16+M19+M24+M26+M29+M34+M32</f>
        <v>420985.54</v>
      </c>
      <c r="N37" s="108">
        <f>N16+N19+N24+N26+N29+N34+N32</f>
        <v>282472.56</v>
      </c>
      <c r="O37" s="108">
        <f>O16+O19+O24+O26+O29+O34+O32</f>
        <v>280077</v>
      </c>
      <c r="P37" s="39">
        <f t="shared" si="8"/>
        <v>96.1786960620038</v>
      </c>
      <c r="Q37" s="7" t="e">
        <f>Q16+Q19+#REF!+Q24+Q26+Q29+Q34+Q32</f>
        <v>#REF!</v>
      </c>
      <c r="R37" s="103">
        <f t="shared" si="5"/>
        <v>27546205.939999998</v>
      </c>
      <c r="S37" s="103">
        <f t="shared" si="1"/>
        <v>25387884.919999998</v>
      </c>
      <c r="T37" s="106">
        <f t="shared" si="2"/>
        <v>27401771.709999997</v>
      </c>
      <c r="U37" s="106">
        <f t="shared" si="3"/>
        <v>280077</v>
      </c>
      <c r="V37" s="26">
        <f t="shared" si="4"/>
        <v>99.47566561320785</v>
      </c>
    </row>
    <row r="38" spans="3:22" s="17" customFormat="1" ht="45.75" customHeight="1">
      <c r="C38" s="18" t="s">
        <v>91</v>
      </c>
      <c r="D38" s="18"/>
      <c r="E38" s="18"/>
      <c r="F38" s="19" t="s">
        <v>364</v>
      </c>
      <c r="G38" s="103"/>
      <c r="H38" s="103"/>
      <c r="I38" s="103"/>
      <c r="J38" s="25"/>
      <c r="K38" s="1"/>
      <c r="L38" s="103"/>
      <c r="M38" s="103"/>
      <c r="N38" s="103"/>
      <c r="O38" s="117"/>
      <c r="P38" s="25"/>
      <c r="Q38" s="1"/>
      <c r="R38" s="103"/>
      <c r="S38" s="103"/>
      <c r="T38" s="106"/>
      <c r="U38" s="106"/>
      <c r="V38" s="26"/>
    </row>
    <row r="39" spans="3:22" s="20" customFormat="1" ht="32.25" customHeight="1">
      <c r="C39" s="21" t="s">
        <v>92</v>
      </c>
      <c r="D39" s="21"/>
      <c r="E39" s="21"/>
      <c r="F39" s="22" t="s">
        <v>365</v>
      </c>
      <c r="G39" s="104"/>
      <c r="H39" s="104"/>
      <c r="I39" s="104"/>
      <c r="J39" s="25"/>
      <c r="K39" s="6"/>
      <c r="L39" s="104"/>
      <c r="M39" s="104"/>
      <c r="N39" s="104"/>
      <c r="O39" s="118"/>
      <c r="P39" s="25"/>
      <c r="Q39" s="6"/>
      <c r="R39" s="103"/>
      <c r="S39" s="103"/>
      <c r="T39" s="106"/>
      <c r="U39" s="106"/>
      <c r="V39" s="26"/>
    </row>
    <row r="40" spans="3:22" s="17" customFormat="1" ht="21.75" customHeight="1">
      <c r="C40" s="18"/>
      <c r="D40" s="18"/>
      <c r="E40" s="18"/>
      <c r="F40" s="28" t="s">
        <v>462</v>
      </c>
      <c r="G40" s="104">
        <f>G52+G57+G78+G48+G56+G58+G79</f>
        <v>57638871.23</v>
      </c>
      <c r="H40" s="104">
        <f>H52+H57+H78+H48+H56+H58+H79</f>
        <v>42352753.23</v>
      </c>
      <c r="I40" s="104">
        <f>I52+I57+I78+I48+I56+I58+I79</f>
        <v>57288373.93</v>
      </c>
      <c r="J40" s="25">
        <f t="shared" si="0"/>
        <v>99.39190811249341</v>
      </c>
      <c r="K40" s="6">
        <f>K52+K54+K55+K57+K58+K78</f>
        <v>0</v>
      </c>
      <c r="L40" s="104">
        <f>L52+L57+L78+L48+L56+L58+L79+L83</f>
        <v>770000</v>
      </c>
      <c r="M40" s="104">
        <f>M52+M57+M78+M48+M56+M58+M79+M83</f>
        <v>770000</v>
      </c>
      <c r="N40" s="104">
        <f>N52+N57+N78+N48+N56+N58+N79+N83</f>
        <v>770000</v>
      </c>
      <c r="O40" s="104">
        <f>O52+O57+O78+O48+O56+O58+O79+O83</f>
        <v>770000</v>
      </c>
      <c r="P40" s="25">
        <f>N40/L40*100</f>
        <v>100</v>
      </c>
      <c r="Q40" s="6">
        <f>Q52+Q54+Q55+Q57+Q58+Q78</f>
        <v>0</v>
      </c>
      <c r="R40" s="103">
        <f t="shared" si="5"/>
        <v>58408871.23</v>
      </c>
      <c r="S40" s="103">
        <f t="shared" si="1"/>
        <v>43122753.23</v>
      </c>
      <c r="T40" s="106">
        <f t="shared" si="2"/>
        <v>58058373.93</v>
      </c>
      <c r="U40" s="106">
        <f t="shared" si="3"/>
        <v>770000</v>
      </c>
      <c r="V40" s="26">
        <f t="shared" si="4"/>
        <v>99.39992454464695</v>
      </c>
    </row>
    <row r="41" spans="1:22" s="17" customFormat="1" ht="48" customHeight="1">
      <c r="A41" s="17">
        <v>2</v>
      </c>
      <c r="B41" s="17">
        <v>7</v>
      </c>
      <c r="C41" s="23" t="s">
        <v>93</v>
      </c>
      <c r="D41" s="23" t="s">
        <v>32</v>
      </c>
      <c r="E41" s="23" t="s">
        <v>29</v>
      </c>
      <c r="F41" s="24" t="s">
        <v>98</v>
      </c>
      <c r="G41" s="103">
        <f>G42+G43</f>
        <v>3673803</v>
      </c>
      <c r="H41" s="103">
        <f aca="true" t="shared" si="9" ref="H41:Q41">H42+H43</f>
        <v>2908989</v>
      </c>
      <c r="I41" s="103">
        <f t="shared" si="9"/>
        <v>3636971.32</v>
      </c>
      <c r="J41" s="25">
        <f t="shared" si="0"/>
        <v>98.99745087039233</v>
      </c>
      <c r="K41" s="103">
        <f t="shared" si="9"/>
        <v>0</v>
      </c>
      <c r="L41" s="103">
        <f>L42+L43</f>
        <v>41908</v>
      </c>
      <c r="M41" s="103">
        <f t="shared" si="9"/>
        <v>0</v>
      </c>
      <c r="N41" s="103">
        <f t="shared" si="9"/>
        <v>41900</v>
      </c>
      <c r="O41" s="103">
        <f t="shared" si="9"/>
        <v>41900</v>
      </c>
      <c r="P41" s="25">
        <f>N41/L41*100</f>
        <v>99.98091056600171</v>
      </c>
      <c r="Q41" s="103">
        <f t="shared" si="9"/>
        <v>0</v>
      </c>
      <c r="R41" s="103">
        <f t="shared" si="5"/>
        <v>3715711</v>
      </c>
      <c r="S41" s="103">
        <f t="shared" si="1"/>
        <v>2908989</v>
      </c>
      <c r="T41" s="106">
        <f t="shared" si="2"/>
        <v>3678871.32</v>
      </c>
      <c r="U41" s="106">
        <f t="shared" si="3"/>
        <v>41900</v>
      </c>
      <c r="V41" s="26">
        <f t="shared" si="4"/>
        <v>99.00854291412868</v>
      </c>
    </row>
    <row r="42" spans="3:22" s="17" customFormat="1" ht="28.5" customHeight="1">
      <c r="C42" s="23"/>
      <c r="D42" s="23"/>
      <c r="E42" s="23"/>
      <c r="F42" s="31" t="s">
        <v>478</v>
      </c>
      <c r="G42" s="103">
        <v>3669028</v>
      </c>
      <c r="H42" s="103">
        <v>2904214</v>
      </c>
      <c r="I42" s="103">
        <v>3632216.32</v>
      </c>
      <c r="J42" s="25">
        <f t="shared" si="0"/>
        <v>98.99669122176226</v>
      </c>
      <c r="K42" s="1"/>
      <c r="L42" s="103">
        <v>41908</v>
      </c>
      <c r="M42" s="103"/>
      <c r="N42" s="103">
        <v>41900</v>
      </c>
      <c r="O42" s="117">
        <v>41900</v>
      </c>
      <c r="P42" s="25">
        <f>N42/L42*100</f>
        <v>99.98091056600171</v>
      </c>
      <c r="Q42" s="1"/>
      <c r="R42" s="103">
        <f t="shared" si="5"/>
        <v>3710936</v>
      </c>
      <c r="S42" s="103">
        <f t="shared" si="1"/>
        <v>2904214</v>
      </c>
      <c r="T42" s="106">
        <f t="shared" si="2"/>
        <v>3674116.32</v>
      </c>
      <c r="U42" s="106">
        <f t="shared" si="3"/>
        <v>41900</v>
      </c>
      <c r="V42" s="26">
        <f t="shared" si="4"/>
        <v>99.00780611683953</v>
      </c>
    </row>
    <row r="43" spans="3:22" s="17" customFormat="1" ht="56.25" customHeight="1">
      <c r="C43" s="23"/>
      <c r="D43" s="23"/>
      <c r="E43" s="23"/>
      <c r="F43" s="28" t="s">
        <v>306</v>
      </c>
      <c r="G43" s="103">
        <v>4775</v>
      </c>
      <c r="H43" s="103">
        <v>4775</v>
      </c>
      <c r="I43" s="103">
        <v>4755</v>
      </c>
      <c r="J43" s="25">
        <f t="shared" si="0"/>
        <v>99.58115183246073</v>
      </c>
      <c r="K43" s="1"/>
      <c r="L43" s="103"/>
      <c r="M43" s="103"/>
      <c r="N43" s="103"/>
      <c r="O43" s="117"/>
      <c r="P43" s="25"/>
      <c r="Q43" s="1"/>
      <c r="R43" s="103">
        <f t="shared" si="5"/>
        <v>4775</v>
      </c>
      <c r="S43" s="103">
        <f t="shared" si="1"/>
        <v>4775</v>
      </c>
      <c r="T43" s="106">
        <f t="shared" si="2"/>
        <v>4755</v>
      </c>
      <c r="U43" s="106">
        <f t="shared" si="3"/>
        <v>0</v>
      </c>
      <c r="V43" s="26">
        <f t="shared" si="4"/>
        <v>99.58115183246073</v>
      </c>
    </row>
    <row r="44" spans="3:22" s="29" customFormat="1" ht="27" customHeight="1">
      <c r="C44" s="18"/>
      <c r="D44" s="18"/>
      <c r="E44" s="18"/>
      <c r="F44" s="38" t="s">
        <v>180</v>
      </c>
      <c r="G44" s="108">
        <f>G45+G51+G62+G66+G69+G74+G77</f>
        <v>190944720.23</v>
      </c>
      <c r="H44" s="108">
        <f>H45+H51+H62+H66+H69+H74+H77</f>
        <v>157136626.04000002</v>
      </c>
      <c r="I44" s="108">
        <f>I45+I51+I62+I66+I69+I74+I77</f>
        <v>183169317.90999994</v>
      </c>
      <c r="J44" s="25">
        <f t="shared" si="0"/>
        <v>95.92793018281192</v>
      </c>
      <c r="K44" s="7">
        <f>K45+K51+K62+K66+K69+K74+K77</f>
        <v>0</v>
      </c>
      <c r="L44" s="108">
        <f>L45+L51+L62+L66+L69+L74+L77+L82+L84</f>
        <v>12316921.030000001</v>
      </c>
      <c r="M44" s="108">
        <f>M45+M51+M62+M66+M69+M74+M77</f>
        <v>11755722.280000001</v>
      </c>
      <c r="N44" s="108">
        <f>N45+N51+N62+N66+N69+N74+N77</f>
        <v>8753604.71</v>
      </c>
      <c r="O44" s="123">
        <f>O45+O51+O62+O66+O69+O74+O77</f>
        <v>2596393</v>
      </c>
      <c r="P44" s="25">
        <f>N44/L44*100</f>
        <v>71.06974777770415</v>
      </c>
      <c r="Q44" s="7">
        <f>Q45+Q51+Q62+Q66+Q69+Q74+Q77</f>
        <v>175900</v>
      </c>
      <c r="R44" s="103">
        <f t="shared" si="5"/>
        <v>203261641.26</v>
      </c>
      <c r="S44" s="103">
        <f t="shared" si="1"/>
        <v>168892348.32000002</v>
      </c>
      <c r="T44" s="106">
        <f t="shared" si="2"/>
        <v>191922922.61999995</v>
      </c>
      <c r="U44" s="106">
        <f t="shared" si="3"/>
        <v>2596393</v>
      </c>
      <c r="V44" s="26">
        <f t="shared" si="4"/>
        <v>94.4216141473067</v>
      </c>
    </row>
    <row r="45" spans="3:22" s="17" customFormat="1" ht="27.75" customHeight="1">
      <c r="C45" s="23" t="s">
        <v>114</v>
      </c>
      <c r="D45" s="23" t="s">
        <v>33</v>
      </c>
      <c r="E45" s="23" t="s">
        <v>34</v>
      </c>
      <c r="F45" s="40" t="s">
        <v>115</v>
      </c>
      <c r="G45" s="107">
        <f>SUM(G46:G50)</f>
        <v>63877157.29</v>
      </c>
      <c r="H45" s="107">
        <f>SUM(H46:H50)</f>
        <v>52718616</v>
      </c>
      <c r="I45" s="107">
        <f>SUM(I46:I50)</f>
        <v>60655683.629999995</v>
      </c>
      <c r="J45" s="25">
        <f t="shared" si="0"/>
        <v>94.95676733801001</v>
      </c>
      <c r="K45" s="5">
        <f>SUM(K46:K50)</f>
        <v>0</v>
      </c>
      <c r="L45" s="107">
        <f>SUM(L46:L50)</f>
        <v>5356742.58</v>
      </c>
      <c r="M45" s="107">
        <f>SUM(M46:M50)</f>
        <v>5171190.880000001</v>
      </c>
      <c r="N45" s="107">
        <f>SUM(N46:N50)</f>
        <v>3626120.18</v>
      </c>
      <c r="O45" s="119">
        <f>SUM(O46:O50)</f>
        <v>224399</v>
      </c>
      <c r="P45" s="25">
        <f>N45/L45*100</f>
        <v>67.69263457868084</v>
      </c>
      <c r="Q45" s="5">
        <f>SUM(Q46:Q50)</f>
        <v>0</v>
      </c>
      <c r="R45" s="103">
        <f t="shared" si="5"/>
        <v>69233899.87</v>
      </c>
      <c r="S45" s="103">
        <f t="shared" si="1"/>
        <v>57889806.88</v>
      </c>
      <c r="T45" s="106">
        <f t="shared" si="2"/>
        <v>64281803.809999995</v>
      </c>
      <c r="U45" s="106">
        <f t="shared" si="3"/>
        <v>224399</v>
      </c>
      <c r="V45" s="26">
        <f t="shared" si="4"/>
        <v>92.84729580552515</v>
      </c>
    </row>
    <row r="46" spans="1:22" s="20" customFormat="1" ht="26.25" customHeight="1">
      <c r="A46" s="20">
        <v>1</v>
      </c>
      <c r="B46" s="20">
        <v>8</v>
      </c>
      <c r="C46" s="27"/>
      <c r="D46" s="27"/>
      <c r="E46" s="27"/>
      <c r="F46" s="28" t="s">
        <v>26</v>
      </c>
      <c r="G46" s="103">
        <v>63259457.29</v>
      </c>
      <c r="H46" s="110">
        <v>52100916</v>
      </c>
      <c r="I46" s="110">
        <v>60050955.51</v>
      </c>
      <c r="J46" s="25">
        <f t="shared" si="0"/>
        <v>94.92802828628251</v>
      </c>
      <c r="K46" s="1"/>
      <c r="L46" s="103">
        <f>199999+4730668.4+401570.18</f>
        <v>5332237.58</v>
      </c>
      <c r="M46" s="103">
        <f>199999+4718503.9+228182.98</f>
        <v>5146685.880000001</v>
      </c>
      <c r="N46" s="107">
        <f>199894+3001326+400395.18</f>
        <v>3601615.18</v>
      </c>
      <c r="O46" s="118">
        <v>199894</v>
      </c>
      <c r="P46" s="25">
        <f>N46/L46*100</f>
        <v>67.54416182633783</v>
      </c>
      <c r="Q46" s="36"/>
      <c r="R46" s="103">
        <f t="shared" si="5"/>
        <v>68591694.87</v>
      </c>
      <c r="S46" s="103">
        <f t="shared" si="1"/>
        <v>57247601.88</v>
      </c>
      <c r="T46" s="106">
        <f t="shared" si="2"/>
        <v>63652570.69</v>
      </c>
      <c r="U46" s="106">
        <f t="shared" si="3"/>
        <v>199894</v>
      </c>
      <c r="V46" s="26">
        <f t="shared" si="4"/>
        <v>92.7992387571688</v>
      </c>
    </row>
    <row r="47" spans="3:22" s="20" customFormat="1" ht="46.5" hidden="1">
      <c r="C47" s="27"/>
      <c r="D47" s="27"/>
      <c r="E47" s="27"/>
      <c r="F47" s="28" t="s">
        <v>441</v>
      </c>
      <c r="G47" s="103"/>
      <c r="H47" s="110"/>
      <c r="I47" s="110"/>
      <c r="J47" s="25" t="e">
        <f t="shared" si="0"/>
        <v>#DIV/0!</v>
      </c>
      <c r="K47" s="1"/>
      <c r="L47" s="103"/>
      <c r="M47" s="103"/>
      <c r="N47" s="107"/>
      <c r="O47" s="118">
        <f>N47</f>
        <v>0</v>
      </c>
      <c r="P47" s="25" t="e">
        <f>N47/L47*100</f>
        <v>#DIV/0!</v>
      </c>
      <c r="Q47" s="36"/>
      <c r="R47" s="103">
        <f t="shared" si="5"/>
        <v>0</v>
      </c>
      <c r="S47" s="103">
        <f t="shared" si="1"/>
        <v>0</v>
      </c>
      <c r="T47" s="106">
        <f t="shared" si="2"/>
        <v>0</v>
      </c>
      <c r="U47" s="106">
        <f t="shared" si="3"/>
        <v>0</v>
      </c>
      <c r="V47" s="26" t="e">
        <f t="shared" si="4"/>
        <v>#DIV/0!</v>
      </c>
    </row>
    <row r="48" spans="3:22" s="20" customFormat="1" ht="57.75" customHeight="1">
      <c r="C48" s="27"/>
      <c r="D48" s="27"/>
      <c r="E48" s="27"/>
      <c r="F48" s="28" t="s">
        <v>415</v>
      </c>
      <c r="G48" s="103">
        <v>22170</v>
      </c>
      <c r="H48" s="110">
        <v>22170</v>
      </c>
      <c r="I48" s="110">
        <v>15943.12</v>
      </c>
      <c r="J48" s="25">
        <f t="shared" si="0"/>
        <v>71.91303563373928</v>
      </c>
      <c r="K48" s="1"/>
      <c r="L48" s="103"/>
      <c r="M48" s="103"/>
      <c r="N48" s="107"/>
      <c r="O48" s="118"/>
      <c r="P48" s="25"/>
      <c r="Q48" s="36"/>
      <c r="R48" s="103">
        <f t="shared" si="5"/>
        <v>22170</v>
      </c>
      <c r="S48" s="103">
        <f t="shared" si="1"/>
        <v>22170</v>
      </c>
      <c r="T48" s="106">
        <f t="shared" si="2"/>
        <v>15943.12</v>
      </c>
      <c r="U48" s="106">
        <f t="shared" si="3"/>
        <v>0</v>
      </c>
      <c r="V48" s="26">
        <f t="shared" si="4"/>
        <v>71.91303563373928</v>
      </c>
    </row>
    <row r="49" spans="3:22" s="20" customFormat="1" ht="55.5" customHeight="1">
      <c r="C49" s="27"/>
      <c r="D49" s="27"/>
      <c r="E49" s="27"/>
      <c r="F49" s="28" t="s">
        <v>306</v>
      </c>
      <c r="G49" s="103">
        <v>509000</v>
      </c>
      <c r="H49" s="110">
        <v>509000</v>
      </c>
      <c r="I49" s="110">
        <v>502335</v>
      </c>
      <c r="J49" s="25">
        <f t="shared" si="0"/>
        <v>98.69056974459724</v>
      </c>
      <c r="K49" s="1"/>
      <c r="L49" s="103"/>
      <c r="M49" s="103"/>
      <c r="N49" s="107"/>
      <c r="O49" s="118"/>
      <c r="P49" s="25"/>
      <c r="Q49" s="36"/>
      <c r="R49" s="103">
        <f t="shared" si="5"/>
        <v>509000</v>
      </c>
      <c r="S49" s="103">
        <f t="shared" si="1"/>
        <v>509000</v>
      </c>
      <c r="T49" s="106">
        <f t="shared" si="2"/>
        <v>502335</v>
      </c>
      <c r="U49" s="106">
        <f t="shared" si="3"/>
        <v>0</v>
      </c>
      <c r="V49" s="26">
        <f t="shared" si="4"/>
        <v>98.69056974459724</v>
      </c>
    </row>
    <row r="50" spans="3:22" s="20" customFormat="1" ht="39.75" customHeight="1">
      <c r="C50" s="27"/>
      <c r="D50" s="27"/>
      <c r="E50" s="27"/>
      <c r="F50" s="28" t="s">
        <v>308</v>
      </c>
      <c r="G50" s="103">
        <v>86530</v>
      </c>
      <c r="H50" s="110">
        <v>86530</v>
      </c>
      <c r="I50" s="110">
        <v>86450</v>
      </c>
      <c r="J50" s="25">
        <f t="shared" si="0"/>
        <v>99.9075465156593</v>
      </c>
      <c r="K50" s="1"/>
      <c r="L50" s="103">
        <v>24505</v>
      </c>
      <c r="M50" s="103">
        <v>24505</v>
      </c>
      <c r="N50" s="107">
        <v>24505</v>
      </c>
      <c r="O50" s="118">
        <v>24505</v>
      </c>
      <c r="P50" s="25">
        <f>N50/L50*100</f>
        <v>100</v>
      </c>
      <c r="Q50" s="36"/>
      <c r="R50" s="103">
        <f t="shared" si="5"/>
        <v>111035</v>
      </c>
      <c r="S50" s="103">
        <f t="shared" si="1"/>
        <v>111035</v>
      </c>
      <c r="T50" s="106">
        <f t="shared" si="2"/>
        <v>110955</v>
      </c>
      <c r="U50" s="106">
        <f t="shared" si="3"/>
        <v>24505</v>
      </c>
      <c r="V50" s="26">
        <f t="shared" si="4"/>
        <v>99.92795064619264</v>
      </c>
    </row>
    <row r="51" spans="1:22" s="17" customFormat="1" ht="78">
      <c r="A51" s="17">
        <v>2</v>
      </c>
      <c r="B51" s="17">
        <v>9</v>
      </c>
      <c r="C51" s="23" t="s">
        <v>116</v>
      </c>
      <c r="D51" s="23" t="s">
        <v>35</v>
      </c>
      <c r="E51" s="23" t="s">
        <v>36</v>
      </c>
      <c r="F51" s="24" t="s">
        <v>366</v>
      </c>
      <c r="G51" s="107">
        <f>SUM(G52:G61)</f>
        <v>105337201.18</v>
      </c>
      <c r="H51" s="107">
        <f>SUM(H52:H61)</f>
        <v>86894811.72000001</v>
      </c>
      <c r="I51" s="107">
        <f aca="true" t="shared" si="10" ref="I51:Q51">SUM(I52:I61)</f>
        <v>101704281.22999999</v>
      </c>
      <c r="J51" s="25">
        <f t="shared" si="0"/>
        <v>96.55115200584066</v>
      </c>
      <c r="K51" s="5">
        <f t="shared" si="10"/>
        <v>0</v>
      </c>
      <c r="L51" s="107">
        <f>SUM(L52:L61)</f>
        <v>5340771.45</v>
      </c>
      <c r="M51" s="107">
        <f t="shared" si="10"/>
        <v>5152444.4</v>
      </c>
      <c r="N51" s="107">
        <f>SUM(N52:N61)</f>
        <v>3704094.1</v>
      </c>
      <c r="O51" s="119">
        <f t="shared" si="10"/>
        <v>960104</v>
      </c>
      <c r="P51" s="25">
        <f>N51/L51*100</f>
        <v>69.3550385871689</v>
      </c>
      <c r="Q51" s="5">
        <f t="shared" si="10"/>
        <v>175900</v>
      </c>
      <c r="R51" s="103">
        <f t="shared" si="5"/>
        <v>110677972.63000001</v>
      </c>
      <c r="S51" s="103">
        <f t="shared" si="1"/>
        <v>92047256.12000002</v>
      </c>
      <c r="T51" s="106">
        <f t="shared" si="2"/>
        <v>105408375.32999998</v>
      </c>
      <c r="U51" s="106">
        <f t="shared" si="3"/>
        <v>960104</v>
      </c>
      <c r="V51" s="26">
        <f t="shared" si="4"/>
        <v>95.23880210779026</v>
      </c>
    </row>
    <row r="52" spans="3:22" s="20" customFormat="1" ht="25.5" customHeight="1">
      <c r="C52" s="27"/>
      <c r="D52" s="27"/>
      <c r="E52" s="27"/>
      <c r="F52" s="31" t="s">
        <v>416</v>
      </c>
      <c r="G52" s="103">
        <v>54926700</v>
      </c>
      <c r="H52" s="103">
        <v>40570200</v>
      </c>
      <c r="I52" s="103">
        <v>54926700</v>
      </c>
      <c r="J52" s="25">
        <f t="shared" si="0"/>
        <v>100</v>
      </c>
      <c r="K52" s="6"/>
      <c r="L52" s="103"/>
      <c r="M52" s="104"/>
      <c r="N52" s="112"/>
      <c r="O52" s="122"/>
      <c r="P52" s="25"/>
      <c r="Q52" s="36"/>
      <c r="R52" s="103">
        <f t="shared" si="5"/>
        <v>54926700</v>
      </c>
      <c r="S52" s="103">
        <f t="shared" si="1"/>
        <v>40570200</v>
      </c>
      <c r="T52" s="106">
        <f t="shared" si="2"/>
        <v>54926700</v>
      </c>
      <c r="U52" s="106">
        <f t="shared" si="3"/>
        <v>0</v>
      </c>
      <c r="V52" s="26">
        <f t="shared" si="4"/>
        <v>100</v>
      </c>
    </row>
    <row r="53" spans="3:22" s="20" customFormat="1" ht="26.25" customHeight="1">
      <c r="C53" s="27"/>
      <c r="D53" s="27"/>
      <c r="E53" s="27"/>
      <c r="F53" s="31" t="s">
        <v>287</v>
      </c>
      <c r="G53" s="103">
        <v>47733289.95</v>
      </c>
      <c r="H53" s="103">
        <v>44270789.49</v>
      </c>
      <c r="I53" s="103">
        <v>44282321.04</v>
      </c>
      <c r="J53" s="25">
        <f t="shared" si="0"/>
        <v>92.7703099584905</v>
      </c>
      <c r="K53" s="6"/>
      <c r="L53" s="103">
        <f>225507+3843340.85+535023.6</f>
        <v>4603871.45</v>
      </c>
      <c r="M53" s="103">
        <f>209927+3811431.9+390085.5</f>
        <v>4411444.4</v>
      </c>
      <c r="N53" s="107">
        <f>223807+2208966.5+535023.6</f>
        <v>2967797.1</v>
      </c>
      <c r="O53" s="119">
        <v>223807</v>
      </c>
      <c r="P53" s="25">
        <f>N53/L53*100</f>
        <v>64.46307487582</v>
      </c>
      <c r="Q53" s="5">
        <v>175900</v>
      </c>
      <c r="R53" s="103">
        <f t="shared" si="5"/>
        <v>52337161.400000006</v>
      </c>
      <c r="S53" s="103">
        <f t="shared" si="1"/>
        <v>48682233.89</v>
      </c>
      <c r="T53" s="106">
        <f t="shared" si="2"/>
        <v>47250118.14</v>
      </c>
      <c r="U53" s="106">
        <f t="shared" si="3"/>
        <v>223807</v>
      </c>
      <c r="V53" s="26">
        <f t="shared" si="4"/>
        <v>90.28024615030039</v>
      </c>
    </row>
    <row r="54" spans="3:22" s="20" customFormat="1" ht="28.5" customHeight="1" hidden="1">
      <c r="C54" s="27"/>
      <c r="D54" s="27"/>
      <c r="E54" s="27"/>
      <c r="F54" s="88" t="s">
        <v>443</v>
      </c>
      <c r="G54" s="103"/>
      <c r="H54" s="104"/>
      <c r="I54" s="103"/>
      <c r="J54" s="25" t="e">
        <f t="shared" si="0"/>
        <v>#DIV/0!</v>
      </c>
      <c r="K54" s="6"/>
      <c r="L54" s="103"/>
      <c r="M54" s="103"/>
      <c r="N54" s="112"/>
      <c r="O54" s="122"/>
      <c r="P54" s="25" t="e">
        <f>N54/L54*100</f>
        <v>#DIV/0!</v>
      </c>
      <c r="Q54" s="36"/>
      <c r="R54" s="103">
        <f t="shared" si="5"/>
        <v>0</v>
      </c>
      <c r="S54" s="103">
        <f t="shared" si="1"/>
        <v>0</v>
      </c>
      <c r="T54" s="106">
        <f t="shared" si="2"/>
        <v>0</v>
      </c>
      <c r="U54" s="106">
        <f t="shared" si="3"/>
        <v>0</v>
      </c>
      <c r="V54" s="26" t="e">
        <f t="shared" si="4"/>
        <v>#DIV/0!</v>
      </c>
    </row>
    <row r="55" spans="3:22" s="20" customFormat="1" ht="46.5" hidden="1">
      <c r="C55" s="27"/>
      <c r="D55" s="27"/>
      <c r="E55" s="27"/>
      <c r="F55" s="60" t="s">
        <v>442</v>
      </c>
      <c r="G55" s="103"/>
      <c r="H55" s="104"/>
      <c r="I55" s="103"/>
      <c r="J55" s="25" t="e">
        <f t="shared" si="0"/>
        <v>#DIV/0!</v>
      </c>
      <c r="K55" s="6"/>
      <c r="L55" s="104"/>
      <c r="M55" s="104"/>
      <c r="N55" s="112"/>
      <c r="O55" s="122"/>
      <c r="P55" s="25" t="e">
        <f>N55/L55*100</f>
        <v>#DIV/0!</v>
      </c>
      <c r="Q55" s="36"/>
      <c r="R55" s="103">
        <f t="shared" si="5"/>
        <v>0</v>
      </c>
      <c r="S55" s="103">
        <f t="shared" si="1"/>
        <v>0</v>
      </c>
      <c r="T55" s="106">
        <f t="shared" si="2"/>
        <v>0</v>
      </c>
      <c r="U55" s="106">
        <f t="shared" si="3"/>
        <v>0</v>
      </c>
      <c r="V55" s="26" t="e">
        <f t="shared" si="4"/>
        <v>#DIV/0!</v>
      </c>
    </row>
    <row r="56" spans="3:22" s="20" customFormat="1" ht="27" customHeight="1">
      <c r="C56" s="27"/>
      <c r="D56" s="27"/>
      <c r="E56" s="27"/>
      <c r="F56" s="31" t="s">
        <v>479</v>
      </c>
      <c r="G56" s="103">
        <v>314913.23</v>
      </c>
      <c r="H56" s="104">
        <v>314913.23000000004</v>
      </c>
      <c r="I56" s="104">
        <v>184315.2</v>
      </c>
      <c r="J56" s="25">
        <f t="shared" si="0"/>
        <v>58.52888428980898</v>
      </c>
      <c r="K56" s="6"/>
      <c r="L56" s="104">
        <v>600000</v>
      </c>
      <c r="M56" s="104">
        <v>600000</v>
      </c>
      <c r="N56" s="112">
        <v>600000</v>
      </c>
      <c r="O56" s="122">
        <v>600000</v>
      </c>
      <c r="P56" s="25">
        <f>N56/L56*100</f>
        <v>100</v>
      </c>
      <c r="Q56" s="36"/>
      <c r="R56" s="103">
        <f t="shared" si="5"/>
        <v>914913.23</v>
      </c>
      <c r="S56" s="103">
        <f t="shared" si="1"/>
        <v>914913.23</v>
      </c>
      <c r="T56" s="106">
        <f t="shared" si="2"/>
        <v>784315.2</v>
      </c>
      <c r="U56" s="106">
        <f t="shared" si="3"/>
        <v>600000</v>
      </c>
      <c r="V56" s="26">
        <f t="shared" si="4"/>
        <v>85.72563761046497</v>
      </c>
    </row>
    <row r="57" spans="3:22" s="20" customFormat="1" ht="54" customHeight="1">
      <c r="C57" s="27"/>
      <c r="D57" s="27"/>
      <c r="E57" s="27"/>
      <c r="F57" s="31" t="s">
        <v>417</v>
      </c>
      <c r="G57" s="103">
        <v>32327</v>
      </c>
      <c r="H57" s="103">
        <v>32327</v>
      </c>
      <c r="I57" s="103">
        <v>32002.61</v>
      </c>
      <c r="J57" s="25">
        <f t="shared" si="0"/>
        <v>98.99653540384199</v>
      </c>
      <c r="K57" s="6"/>
      <c r="L57" s="103"/>
      <c r="M57" s="103"/>
      <c r="N57" s="112"/>
      <c r="O57" s="122">
        <f>N57</f>
        <v>0</v>
      </c>
      <c r="P57" s="25"/>
      <c r="Q57" s="36"/>
      <c r="R57" s="103">
        <f t="shared" si="5"/>
        <v>32327</v>
      </c>
      <c r="S57" s="103">
        <f t="shared" si="1"/>
        <v>32327</v>
      </c>
      <c r="T57" s="106">
        <f t="shared" si="2"/>
        <v>32002.61</v>
      </c>
      <c r="U57" s="106">
        <f t="shared" si="3"/>
        <v>0</v>
      </c>
      <c r="V57" s="26">
        <f t="shared" si="4"/>
        <v>98.99653540384199</v>
      </c>
    </row>
    <row r="58" spans="3:22" s="20" customFormat="1" ht="62.25">
      <c r="C58" s="27"/>
      <c r="D58" s="27"/>
      <c r="E58" s="27"/>
      <c r="F58" s="31" t="s">
        <v>418</v>
      </c>
      <c r="G58" s="103">
        <v>1071390</v>
      </c>
      <c r="H58" s="104">
        <v>452101</v>
      </c>
      <c r="I58" s="104">
        <v>1071390</v>
      </c>
      <c r="J58" s="25">
        <f t="shared" si="0"/>
        <v>100</v>
      </c>
      <c r="K58" s="6"/>
      <c r="L58" s="103">
        <f>N58+Q58</f>
        <v>0</v>
      </c>
      <c r="M58" s="103"/>
      <c r="N58" s="112"/>
      <c r="O58" s="122">
        <f>N58</f>
        <v>0</v>
      </c>
      <c r="P58" s="25"/>
      <c r="Q58" s="36"/>
      <c r="R58" s="103">
        <f t="shared" si="5"/>
        <v>1071390</v>
      </c>
      <c r="S58" s="103">
        <f t="shared" si="1"/>
        <v>452101</v>
      </c>
      <c r="T58" s="106">
        <f t="shared" si="2"/>
        <v>1071390</v>
      </c>
      <c r="U58" s="106">
        <f t="shared" si="3"/>
        <v>0</v>
      </c>
      <c r="V58" s="26">
        <f t="shared" si="4"/>
        <v>100</v>
      </c>
    </row>
    <row r="59" spans="3:22" s="20" customFormat="1" ht="57" customHeight="1">
      <c r="C59" s="27"/>
      <c r="D59" s="27"/>
      <c r="E59" s="27"/>
      <c r="F59" s="28" t="s">
        <v>306</v>
      </c>
      <c r="G59" s="103">
        <v>1110000</v>
      </c>
      <c r="H59" s="104">
        <v>1110000</v>
      </c>
      <c r="I59" s="104">
        <v>1059600</v>
      </c>
      <c r="J59" s="25">
        <f t="shared" si="0"/>
        <v>95.45945945945947</v>
      </c>
      <c r="K59" s="6"/>
      <c r="L59" s="103"/>
      <c r="M59" s="103"/>
      <c r="N59" s="112"/>
      <c r="O59" s="122">
        <f>N59</f>
        <v>0</v>
      </c>
      <c r="P59" s="25"/>
      <c r="Q59" s="36"/>
      <c r="R59" s="103">
        <f t="shared" si="5"/>
        <v>1110000</v>
      </c>
      <c r="S59" s="103">
        <f t="shared" si="1"/>
        <v>1110000</v>
      </c>
      <c r="T59" s="106">
        <f t="shared" si="2"/>
        <v>1059600</v>
      </c>
      <c r="U59" s="106">
        <f t="shared" si="3"/>
        <v>0</v>
      </c>
      <c r="V59" s="26">
        <f t="shared" si="4"/>
        <v>95.45945945945947</v>
      </c>
    </row>
    <row r="60" spans="3:22" s="20" customFormat="1" ht="42.75" customHeight="1">
      <c r="C60" s="27"/>
      <c r="D60" s="27"/>
      <c r="E60" s="27"/>
      <c r="F60" s="31" t="s">
        <v>340</v>
      </c>
      <c r="G60" s="103">
        <v>148581</v>
      </c>
      <c r="H60" s="104">
        <v>144481</v>
      </c>
      <c r="I60" s="104">
        <v>147952.38</v>
      </c>
      <c r="J60" s="25">
        <f t="shared" si="0"/>
        <v>99.57691764088275</v>
      </c>
      <c r="K60" s="6"/>
      <c r="L60" s="103">
        <v>136900</v>
      </c>
      <c r="M60" s="103">
        <v>141000</v>
      </c>
      <c r="N60" s="107">
        <v>136297</v>
      </c>
      <c r="O60" s="122">
        <v>136297</v>
      </c>
      <c r="P60" s="25">
        <f>N60/L60*100</f>
        <v>99.55953250547846</v>
      </c>
      <c r="Q60" s="5"/>
      <c r="R60" s="103">
        <f t="shared" si="5"/>
        <v>285481</v>
      </c>
      <c r="S60" s="103">
        <f t="shared" si="1"/>
        <v>285481</v>
      </c>
      <c r="T60" s="106">
        <f t="shared" si="2"/>
        <v>284249.38</v>
      </c>
      <c r="U60" s="106">
        <f t="shared" si="3"/>
        <v>136297</v>
      </c>
      <c r="V60" s="26">
        <f t="shared" si="4"/>
        <v>99.56858074617926</v>
      </c>
    </row>
    <row r="61" spans="3:22" s="20" customFormat="1" ht="27" customHeight="1" hidden="1">
      <c r="C61" s="27"/>
      <c r="D61" s="27"/>
      <c r="E61" s="27"/>
      <c r="F61" s="31" t="s">
        <v>13</v>
      </c>
      <c r="G61" s="103">
        <f>H61+K61</f>
        <v>0</v>
      </c>
      <c r="H61" s="148"/>
      <c r="I61" s="148"/>
      <c r="J61" s="25" t="e">
        <f t="shared" si="0"/>
        <v>#DIV/0!</v>
      </c>
      <c r="K61" s="6"/>
      <c r="L61" s="103">
        <f>N61+Q61</f>
        <v>0</v>
      </c>
      <c r="M61" s="103"/>
      <c r="N61" s="112"/>
      <c r="O61" s="122"/>
      <c r="P61" s="25" t="e">
        <f>N61/L61*100</f>
        <v>#DIV/0!</v>
      </c>
      <c r="Q61" s="36"/>
      <c r="R61" s="103">
        <f t="shared" si="5"/>
        <v>0</v>
      </c>
      <c r="S61" s="103">
        <f t="shared" si="1"/>
        <v>0</v>
      </c>
      <c r="T61" s="106">
        <f t="shared" si="2"/>
        <v>0</v>
      </c>
      <c r="U61" s="106">
        <f t="shared" si="3"/>
        <v>0</v>
      </c>
      <c r="V61" s="26" t="e">
        <f t="shared" si="4"/>
        <v>#DIV/0!</v>
      </c>
    </row>
    <row r="62" spans="1:22" s="17" customFormat="1" ht="49.5" customHeight="1">
      <c r="A62" s="17">
        <v>3</v>
      </c>
      <c r="B62" s="17">
        <v>10</v>
      </c>
      <c r="C62" s="41" t="s">
        <v>117</v>
      </c>
      <c r="D62" s="41" t="s">
        <v>37</v>
      </c>
      <c r="E62" s="41" t="s">
        <v>38</v>
      </c>
      <c r="F62" s="24" t="s">
        <v>2</v>
      </c>
      <c r="G62" s="103">
        <f>G63+G65+G64</f>
        <v>9232682.32</v>
      </c>
      <c r="H62" s="103">
        <f>H63+H65+H64</f>
        <v>7724453.32</v>
      </c>
      <c r="I62" s="103">
        <f>I63+I65+I64</f>
        <v>9062469.26</v>
      </c>
      <c r="J62" s="25">
        <f t="shared" si="0"/>
        <v>98.15640727038466</v>
      </c>
      <c r="K62" s="1">
        <f>K63+K65</f>
        <v>0</v>
      </c>
      <c r="L62" s="103">
        <f>L63+L65+L64</f>
        <v>45317</v>
      </c>
      <c r="M62" s="103">
        <f>M63+M65+M64</f>
        <v>28317</v>
      </c>
      <c r="N62" s="103">
        <f>N63+N65+N64</f>
        <v>19892</v>
      </c>
      <c r="O62" s="117">
        <f>O63+O65+O64</f>
        <v>13000</v>
      </c>
      <c r="P62" s="25">
        <f>N62/L62*100</f>
        <v>43.89522695677119</v>
      </c>
      <c r="Q62" s="1">
        <f>Q63+Q65</f>
        <v>0</v>
      </c>
      <c r="R62" s="103">
        <f t="shared" si="5"/>
        <v>9277999.32</v>
      </c>
      <c r="S62" s="103">
        <f t="shared" si="1"/>
        <v>7752770.32</v>
      </c>
      <c r="T62" s="106">
        <f t="shared" si="2"/>
        <v>9082361.26</v>
      </c>
      <c r="U62" s="106">
        <f t="shared" si="3"/>
        <v>13000</v>
      </c>
      <c r="V62" s="26">
        <f t="shared" si="4"/>
        <v>97.89137665080148</v>
      </c>
    </row>
    <row r="63" spans="3:22" s="17" customFormat="1" ht="27" customHeight="1">
      <c r="C63" s="41"/>
      <c r="D63" s="41"/>
      <c r="E63" s="41"/>
      <c r="F63" s="31" t="s">
        <v>464</v>
      </c>
      <c r="G63" s="103">
        <v>9196682.32</v>
      </c>
      <c r="H63" s="109">
        <v>7688453.32</v>
      </c>
      <c r="I63" s="109">
        <v>9029954.25</v>
      </c>
      <c r="J63" s="25">
        <f t="shared" si="0"/>
        <v>98.18708460074328</v>
      </c>
      <c r="K63" s="1"/>
      <c r="L63" s="103">
        <v>45317</v>
      </c>
      <c r="M63" s="107">
        <v>28317</v>
      </c>
      <c r="N63" s="107">
        <v>19892</v>
      </c>
      <c r="O63" s="119">
        <v>13000</v>
      </c>
      <c r="P63" s="25">
        <f>N63/L63*100</f>
        <v>43.89522695677119</v>
      </c>
      <c r="Q63" s="5"/>
      <c r="R63" s="103">
        <f t="shared" si="5"/>
        <v>9241999.32</v>
      </c>
      <c r="S63" s="103">
        <f t="shared" si="1"/>
        <v>7716770.32</v>
      </c>
      <c r="T63" s="106">
        <f t="shared" si="2"/>
        <v>9049846.25</v>
      </c>
      <c r="U63" s="106">
        <f t="shared" si="3"/>
        <v>13000</v>
      </c>
      <c r="V63" s="26">
        <f t="shared" si="4"/>
        <v>97.92087119521666</v>
      </c>
    </row>
    <row r="64" spans="3:22" s="17" customFormat="1" ht="60.75" customHeight="1">
      <c r="C64" s="41"/>
      <c r="D64" s="41"/>
      <c r="E64" s="41"/>
      <c r="F64" s="28" t="s">
        <v>306</v>
      </c>
      <c r="G64" s="103">
        <v>36000</v>
      </c>
      <c r="H64" s="109">
        <v>36000</v>
      </c>
      <c r="I64" s="109">
        <v>32515.01</v>
      </c>
      <c r="J64" s="25">
        <f t="shared" si="0"/>
        <v>90.31947222222222</v>
      </c>
      <c r="K64" s="1"/>
      <c r="L64" s="103"/>
      <c r="M64" s="107"/>
      <c r="N64" s="107"/>
      <c r="O64" s="119"/>
      <c r="P64" s="25"/>
      <c r="Q64" s="5"/>
      <c r="R64" s="103">
        <f t="shared" si="5"/>
        <v>36000</v>
      </c>
      <c r="S64" s="103">
        <f t="shared" si="1"/>
        <v>36000</v>
      </c>
      <c r="T64" s="106">
        <f t="shared" si="2"/>
        <v>32515.01</v>
      </c>
      <c r="U64" s="106">
        <f t="shared" si="3"/>
        <v>0</v>
      </c>
      <c r="V64" s="26">
        <f t="shared" si="4"/>
        <v>90.31947222222222</v>
      </c>
    </row>
    <row r="65" spans="3:22" s="17" customFormat="1" ht="36" customHeight="1" hidden="1">
      <c r="C65" s="41"/>
      <c r="D65" s="41"/>
      <c r="E65" s="41"/>
      <c r="F65" s="31" t="s">
        <v>341</v>
      </c>
      <c r="G65" s="103"/>
      <c r="H65" s="152"/>
      <c r="I65" s="152"/>
      <c r="J65" s="25" t="e">
        <f t="shared" si="0"/>
        <v>#DIV/0!</v>
      </c>
      <c r="K65" s="1"/>
      <c r="L65" s="103"/>
      <c r="M65" s="107"/>
      <c r="N65" s="107"/>
      <c r="O65" s="119"/>
      <c r="P65" s="25"/>
      <c r="Q65" s="5"/>
      <c r="R65" s="103">
        <f t="shared" si="5"/>
        <v>0</v>
      </c>
      <c r="S65" s="103">
        <f t="shared" si="1"/>
        <v>0</v>
      </c>
      <c r="T65" s="106">
        <f t="shared" si="2"/>
        <v>0</v>
      </c>
      <c r="U65" s="106">
        <f t="shared" si="3"/>
        <v>0</v>
      </c>
      <c r="V65" s="26" t="e">
        <f t="shared" si="4"/>
        <v>#DIV/0!</v>
      </c>
    </row>
    <row r="66" spans="1:22" s="17" customFormat="1" ht="27.75" customHeight="1">
      <c r="A66" s="17">
        <v>4</v>
      </c>
      <c r="B66" s="17">
        <v>11</v>
      </c>
      <c r="C66" s="23" t="s">
        <v>120</v>
      </c>
      <c r="D66" s="23" t="s">
        <v>119</v>
      </c>
      <c r="E66" s="23" t="s">
        <v>39</v>
      </c>
      <c r="F66" s="24" t="s">
        <v>118</v>
      </c>
      <c r="G66" s="103">
        <f>G67+G68</f>
        <v>1670920</v>
      </c>
      <c r="H66" s="103">
        <f>H67+H68</f>
        <v>1314356</v>
      </c>
      <c r="I66" s="103">
        <f>I67+I68</f>
        <v>1628049.14</v>
      </c>
      <c r="J66" s="25">
        <f t="shared" si="0"/>
        <v>97.43429607641299</v>
      </c>
      <c r="K66" s="103">
        <f>K67+K68</f>
        <v>0</v>
      </c>
      <c r="L66" s="103">
        <f>L67+L68</f>
        <v>0</v>
      </c>
      <c r="M66" s="103">
        <f>M67+M68</f>
        <v>0</v>
      </c>
      <c r="N66" s="103">
        <f>N67+N68</f>
        <v>0</v>
      </c>
      <c r="O66" s="103">
        <f>O67+O68</f>
        <v>0</v>
      </c>
      <c r="P66" s="25"/>
      <c r="Q66" s="103">
        <f>Q67+Q68</f>
        <v>0</v>
      </c>
      <c r="R66" s="103">
        <f t="shared" si="5"/>
        <v>1670920</v>
      </c>
      <c r="S66" s="103">
        <f t="shared" si="1"/>
        <v>1314356</v>
      </c>
      <c r="T66" s="106">
        <f t="shared" si="2"/>
        <v>1628049.14</v>
      </c>
      <c r="U66" s="106">
        <f t="shared" si="3"/>
        <v>0</v>
      </c>
      <c r="V66" s="26">
        <f t="shared" si="4"/>
        <v>97.43429607641299</v>
      </c>
    </row>
    <row r="67" spans="3:22" s="17" customFormat="1" ht="24.75" customHeight="1">
      <c r="C67" s="23"/>
      <c r="D67" s="23"/>
      <c r="E67" s="23"/>
      <c r="F67" s="31" t="s">
        <v>480</v>
      </c>
      <c r="G67" s="103">
        <v>1667610</v>
      </c>
      <c r="H67" s="104">
        <v>1311046</v>
      </c>
      <c r="I67" s="104">
        <v>1624744.14</v>
      </c>
      <c r="J67" s="25">
        <f t="shared" si="0"/>
        <v>97.42950330113155</v>
      </c>
      <c r="K67" s="1"/>
      <c r="L67" s="103"/>
      <c r="M67" s="103"/>
      <c r="N67" s="107"/>
      <c r="O67" s="119"/>
      <c r="P67" s="25"/>
      <c r="Q67" s="5"/>
      <c r="R67" s="103">
        <f t="shared" si="5"/>
        <v>1667610</v>
      </c>
      <c r="S67" s="103">
        <f t="shared" si="1"/>
        <v>1311046</v>
      </c>
      <c r="T67" s="106">
        <f t="shared" si="2"/>
        <v>1624744.14</v>
      </c>
      <c r="U67" s="106">
        <f t="shared" si="3"/>
        <v>0</v>
      </c>
      <c r="V67" s="26">
        <f t="shared" si="4"/>
        <v>97.42950330113155</v>
      </c>
    </row>
    <row r="68" spans="3:22" s="17" customFormat="1" ht="46.5">
      <c r="C68" s="23"/>
      <c r="D68" s="23"/>
      <c r="E68" s="23"/>
      <c r="F68" s="28" t="s">
        <v>306</v>
      </c>
      <c r="G68" s="103">
        <v>3310</v>
      </c>
      <c r="H68" s="103">
        <v>3310</v>
      </c>
      <c r="I68" s="103">
        <v>3305</v>
      </c>
      <c r="J68" s="25">
        <f t="shared" si="0"/>
        <v>99.8489425981873</v>
      </c>
      <c r="K68" s="1"/>
      <c r="L68" s="103">
        <f>N68+Q68</f>
        <v>0</v>
      </c>
      <c r="M68" s="103"/>
      <c r="N68" s="107"/>
      <c r="O68" s="119"/>
      <c r="P68" s="25"/>
      <c r="Q68" s="36"/>
      <c r="R68" s="103">
        <f t="shared" si="5"/>
        <v>3310</v>
      </c>
      <c r="S68" s="103">
        <f t="shared" si="1"/>
        <v>3310</v>
      </c>
      <c r="T68" s="106">
        <f t="shared" si="2"/>
        <v>3305</v>
      </c>
      <c r="U68" s="106">
        <f t="shared" si="3"/>
        <v>0</v>
      </c>
      <c r="V68" s="26">
        <f t="shared" si="4"/>
        <v>99.8489425981873</v>
      </c>
    </row>
    <row r="69" spans="3:22" s="17" customFormat="1" ht="42.75" customHeight="1">
      <c r="C69" s="23" t="s">
        <v>227</v>
      </c>
      <c r="D69" s="23" t="s">
        <v>228</v>
      </c>
      <c r="E69" s="23" t="s">
        <v>39</v>
      </c>
      <c r="F69" s="24" t="s">
        <v>367</v>
      </c>
      <c r="G69" s="107">
        <f>SUM(G70:G73)</f>
        <v>9037283.44</v>
      </c>
      <c r="H69" s="107">
        <f>SUM(H70:H73)</f>
        <v>7066117</v>
      </c>
      <c r="I69" s="107">
        <f>SUM(I70:I73)</f>
        <v>8741717.48</v>
      </c>
      <c r="J69" s="25">
        <f t="shared" si="0"/>
        <v>96.72948223918935</v>
      </c>
      <c r="K69" s="5">
        <f>SUM(K70:K72)</f>
        <v>0</v>
      </c>
      <c r="L69" s="107">
        <f>SUM(L70:L72)</f>
        <v>1404090</v>
      </c>
      <c r="M69" s="107">
        <f>SUM(M70:M72)</f>
        <v>1403770</v>
      </c>
      <c r="N69" s="107">
        <f>SUM(N70:N72)</f>
        <v>1403498.43</v>
      </c>
      <c r="O69" s="119">
        <f>SUM(O70:O72)</f>
        <v>1398890</v>
      </c>
      <c r="P69" s="25">
        <f>N69/L69*100</f>
        <v>99.95786808537915</v>
      </c>
      <c r="Q69" s="5">
        <f>SUM(Q70:Q72)</f>
        <v>0</v>
      </c>
      <c r="R69" s="103">
        <f t="shared" si="5"/>
        <v>10441373.44</v>
      </c>
      <c r="S69" s="103">
        <f t="shared" si="1"/>
        <v>8469887</v>
      </c>
      <c r="T69" s="106">
        <f t="shared" si="2"/>
        <v>10145215.91</v>
      </c>
      <c r="U69" s="106">
        <f t="shared" si="3"/>
        <v>1398890</v>
      </c>
      <c r="V69" s="26">
        <f t="shared" si="4"/>
        <v>97.16361519198762</v>
      </c>
    </row>
    <row r="70" spans="3:22" s="20" customFormat="1" ht="30" customHeight="1">
      <c r="C70" s="27"/>
      <c r="D70" s="27"/>
      <c r="E70" s="27"/>
      <c r="F70" s="31" t="s">
        <v>342</v>
      </c>
      <c r="G70" s="103">
        <v>3290549</v>
      </c>
      <c r="H70" s="109">
        <v>2493566</v>
      </c>
      <c r="I70" s="109">
        <v>3243706.49</v>
      </c>
      <c r="J70" s="25">
        <f t="shared" si="0"/>
        <v>98.57645304780449</v>
      </c>
      <c r="K70" s="1"/>
      <c r="L70" s="103"/>
      <c r="M70" s="104"/>
      <c r="N70" s="112"/>
      <c r="O70" s="122">
        <f>N70</f>
        <v>0</v>
      </c>
      <c r="P70" s="25"/>
      <c r="Q70" s="36"/>
      <c r="R70" s="103">
        <f t="shared" si="5"/>
        <v>3290549</v>
      </c>
      <c r="S70" s="103">
        <f t="shared" si="1"/>
        <v>2493566</v>
      </c>
      <c r="T70" s="106">
        <f t="shared" si="2"/>
        <v>3243706.49</v>
      </c>
      <c r="U70" s="106">
        <f t="shared" si="3"/>
        <v>0</v>
      </c>
      <c r="V70" s="26">
        <f t="shared" si="4"/>
        <v>98.57645304780449</v>
      </c>
    </row>
    <row r="71" spans="1:22" s="20" customFormat="1" ht="21.75" customHeight="1">
      <c r="A71" s="20">
        <v>6</v>
      </c>
      <c r="B71" s="20">
        <v>13</v>
      </c>
      <c r="C71" s="27"/>
      <c r="D71" s="27"/>
      <c r="E71" s="27"/>
      <c r="F71" s="31" t="s">
        <v>343</v>
      </c>
      <c r="G71" s="103">
        <v>2919399</v>
      </c>
      <c r="H71" s="109">
        <v>2271575</v>
      </c>
      <c r="I71" s="109">
        <v>2851837.04</v>
      </c>
      <c r="J71" s="25">
        <f t="shared" si="0"/>
        <v>97.68575792483315</v>
      </c>
      <c r="K71" s="1"/>
      <c r="L71" s="103">
        <v>1398890</v>
      </c>
      <c r="M71" s="104">
        <v>1398890</v>
      </c>
      <c r="N71" s="112">
        <v>1398890</v>
      </c>
      <c r="O71" s="122">
        <f>N71</f>
        <v>1398890</v>
      </c>
      <c r="P71" s="25">
        <f>N71/L71*100</f>
        <v>100</v>
      </c>
      <c r="Q71" s="42"/>
      <c r="R71" s="103">
        <f t="shared" si="5"/>
        <v>4318289</v>
      </c>
      <c r="S71" s="103">
        <f t="shared" si="1"/>
        <v>3670465</v>
      </c>
      <c r="T71" s="106">
        <f t="shared" si="2"/>
        <v>4250727.04</v>
      </c>
      <c r="U71" s="106">
        <f t="shared" si="3"/>
        <v>1398890</v>
      </c>
      <c r="V71" s="26">
        <f t="shared" si="4"/>
        <v>98.43544607598056</v>
      </c>
    </row>
    <row r="72" spans="3:22" s="20" customFormat="1" ht="24" customHeight="1">
      <c r="C72" s="27"/>
      <c r="D72" s="27"/>
      <c r="E72" s="27"/>
      <c r="F72" s="31" t="s">
        <v>260</v>
      </c>
      <c r="G72" s="103">
        <v>2778920.44</v>
      </c>
      <c r="H72" s="109">
        <v>2252561</v>
      </c>
      <c r="I72" s="109">
        <v>2598682.05</v>
      </c>
      <c r="J72" s="25">
        <f t="shared" si="0"/>
        <v>93.51408599520754</v>
      </c>
      <c r="K72" s="1"/>
      <c r="L72" s="103">
        <v>5200</v>
      </c>
      <c r="M72" s="103">
        <v>4880</v>
      </c>
      <c r="N72" s="107">
        <v>4608.43</v>
      </c>
      <c r="O72" s="122"/>
      <c r="P72" s="25">
        <f>N72/L72*100</f>
        <v>88.62365384615384</v>
      </c>
      <c r="Q72" s="42"/>
      <c r="R72" s="103">
        <f t="shared" si="5"/>
        <v>2784120.44</v>
      </c>
      <c r="S72" s="103">
        <f t="shared" si="1"/>
        <v>2257441</v>
      </c>
      <c r="T72" s="106">
        <f t="shared" si="2"/>
        <v>2603290.48</v>
      </c>
      <c r="U72" s="106">
        <f t="shared" si="3"/>
        <v>0</v>
      </c>
      <c r="V72" s="26">
        <f t="shared" si="4"/>
        <v>93.50495196249484</v>
      </c>
    </row>
    <row r="73" spans="3:22" s="20" customFormat="1" ht="59.25" customHeight="1">
      <c r="C73" s="27"/>
      <c r="D73" s="27"/>
      <c r="E73" s="27"/>
      <c r="F73" s="28" t="s">
        <v>306</v>
      </c>
      <c r="G73" s="103">
        <v>48415</v>
      </c>
      <c r="H73" s="109">
        <v>48415</v>
      </c>
      <c r="I73" s="109">
        <v>47491.9</v>
      </c>
      <c r="J73" s="25">
        <f t="shared" si="0"/>
        <v>98.09335949602396</v>
      </c>
      <c r="K73" s="1"/>
      <c r="L73" s="103"/>
      <c r="M73" s="103"/>
      <c r="N73" s="107"/>
      <c r="O73" s="122"/>
      <c r="P73" s="25"/>
      <c r="Q73" s="42"/>
      <c r="R73" s="103">
        <f t="shared" si="5"/>
        <v>48415</v>
      </c>
      <c r="S73" s="103">
        <f t="shared" si="1"/>
        <v>48415</v>
      </c>
      <c r="T73" s="106">
        <f t="shared" si="2"/>
        <v>47491.9</v>
      </c>
      <c r="U73" s="106">
        <f t="shared" si="3"/>
        <v>0</v>
      </c>
      <c r="V73" s="26">
        <f t="shared" si="4"/>
        <v>98.09335949602396</v>
      </c>
    </row>
    <row r="74" spans="1:22" s="17" customFormat="1" ht="23.25" customHeight="1">
      <c r="A74" s="17">
        <v>7</v>
      </c>
      <c r="B74" s="17">
        <v>14</v>
      </c>
      <c r="C74" s="23" t="s">
        <v>229</v>
      </c>
      <c r="D74" s="23" t="s">
        <v>230</v>
      </c>
      <c r="E74" s="23" t="s">
        <v>39</v>
      </c>
      <c r="F74" s="24" t="s">
        <v>231</v>
      </c>
      <c r="G74" s="107">
        <f>SUM(G75:G76)</f>
        <v>244760</v>
      </c>
      <c r="H74" s="107">
        <f>SUM(H75:H76)</f>
        <v>197550</v>
      </c>
      <c r="I74" s="107">
        <f>SUM(I75:I76)</f>
        <v>205529</v>
      </c>
      <c r="J74" s="25">
        <f t="shared" si="0"/>
        <v>83.97164569374081</v>
      </c>
      <c r="K74" s="5">
        <f>SUM(K75:K80)</f>
        <v>0</v>
      </c>
      <c r="L74" s="107">
        <f>SUM(L75:L76)</f>
        <v>0</v>
      </c>
      <c r="M74" s="107">
        <f>SUM(M75:M76)</f>
        <v>0</v>
      </c>
      <c r="N74" s="107">
        <f>SUM(N75:N76)</f>
        <v>0</v>
      </c>
      <c r="O74" s="119">
        <f>SUM(O75:O76)</f>
        <v>0</v>
      </c>
      <c r="P74" s="25"/>
      <c r="Q74" s="5">
        <f>SUM(Q75:Q80)</f>
        <v>0</v>
      </c>
      <c r="R74" s="103">
        <f t="shared" si="5"/>
        <v>244760</v>
      </c>
      <c r="S74" s="103">
        <f t="shared" si="1"/>
        <v>197550</v>
      </c>
      <c r="T74" s="106">
        <f t="shared" si="2"/>
        <v>205529</v>
      </c>
      <c r="U74" s="106">
        <f t="shared" si="3"/>
        <v>0</v>
      </c>
      <c r="V74" s="26">
        <f t="shared" si="4"/>
        <v>83.97164569374081</v>
      </c>
    </row>
    <row r="75" spans="3:22" s="20" customFormat="1" ht="36" customHeight="1">
      <c r="C75" s="27"/>
      <c r="D75" s="27"/>
      <c r="E75" s="27"/>
      <c r="F75" s="31" t="s">
        <v>280</v>
      </c>
      <c r="G75" s="103">
        <v>12670</v>
      </c>
      <c r="H75" s="109">
        <v>9050</v>
      </c>
      <c r="I75" s="109">
        <v>12670</v>
      </c>
      <c r="J75" s="25">
        <f t="shared" si="0"/>
        <v>100</v>
      </c>
      <c r="K75" s="8"/>
      <c r="L75" s="103"/>
      <c r="M75" s="104"/>
      <c r="N75" s="124"/>
      <c r="O75" s="125"/>
      <c r="P75" s="25"/>
      <c r="Q75" s="43"/>
      <c r="R75" s="103">
        <f t="shared" si="5"/>
        <v>12670</v>
      </c>
      <c r="S75" s="103">
        <f t="shared" si="1"/>
        <v>9050</v>
      </c>
      <c r="T75" s="106">
        <f t="shared" si="2"/>
        <v>12670</v>
      </c>
      <c r="U75" s="106">
        <f t="shared" si="3"/>
        <v>0</v>
      </c>
      <c r="V75" s="26">
        <f t="shared" si="4"/>
        <v>100</v>
      </c>
    </row>
    <row r="76" spans="3:22" s="20" customFormat="1" ht="36" customHeight="1">
      <c r="C76" s="27"/>
      <c r="D76" s="27"/>
      <c r="E76" s="27"/>
      <c r="F76" s="31" t="s">
        <v>390</v>
      </c>
      <c r="G76" s="103">
        <v>232090</v>
      </c>
      <c r="H76" s="109">
        <v>188500</v>
      </c>
      <c r="I76" s="109">
        <v>192859</v>
      </c>
      <c r="J76" s="25">
        <f t="shared" si="0"/>
        <v>83.09664354345297</v>
      </c>
      <c r="K76" s="8"/>
      <c r="L76" s="103"/>
      <c r="M76" s="104"/>
      <c r="N76" s="124"/>
      <c r="O76" s="125"/>
      <c r="P76" s="25"/>
      <c r="Q76" s="43"/>
      <c r="R76" s="103">
        <f t="shared" si="5"/>
        <v>232090</v>
      </c>
      <c r="S76" s="103">
        <f t="shared" si="1"/>
        <v>188500</v>
      </c>
      <c r="T76" s="106">
        <f t="shared" si="2"/>
        <v>192859</v>
      </c>
      <c r="U76" s="106">
        <f t="shared" si="3"/>
        <v>0</v>
      </c>
      <c r="V76" s="26">
        <f t="shared" si="4"/>
        <v>83.09664354345297</v>
      </c>
    </row>
    <row r="77" spans="3:22" s="20" customFormat="1" ht="36" customHeight="1">
      <c r="C77" s="23" t="s">
        <v>385</v>
      </c>
      <c r="D77" s="23" t="s">
        <v>384</v>
      </c>
      <c r="E77" s="23" t="s">
        <v>39</v>
      </c>
      <c r="F77" s="24" t="s">
        <v>445</v>
      </c>
      <c r="G77" s="109">
        <f>SUM(G78:G81)</f>
        <v>1544716</v>
      </c>
      <c r="H77" s="109">
        <f>SUM(H78:H81)</f>
        <v>1220722</v>
      </c>
      <c r="I77" s="109">
        <f>SUM(I78:I81)</f>
        <v>1171588.17</v>
      </c>
      <c r="J77" s="25">
        <f t="shared" si="0"/>
        <v>75.84489122919682</v>
      </c>
      <c r="K77" s="8">
        <f>K78</f>
        <v>0</v>
      </c>
      <c r="L77" s="109">
        <f>SUM(L78:L80)</f>
        <v>0</v>
      </c>
      <c r="M77" s="109">
        <f>SUM(M78:M80)</f>
        <v>0</v>
      </c>
      <c r="N77" s="109">
        <f>SUM(N78:N80)</f>
        <v>0</v>
      </c>
      <c r="O77" s="126">
        <f>SUM(O78:O80)</f>
        <v>0</v>
      </c>
      <c r="P77" s="25"/>
      <c r="Q77" s="8">
        <f>Q78</f>
        <v>0</v>
      </c>
      <c r="R77" s="103">
        <f t="shared" si="5"/>
        <v>1544716</v>
      </c>
      <c r="S77" s="103">
        <f t="shared" si="1"/>
        <v>1220722</v>
      </c>
      <c r="T77" s="106">
        <f t="shared" si="2"/>
        <v>1171588.17</v>
      </c>
      <c r="U77" s="106">
        <f t="shared" si="3"/>
        <v>0</v>
      </c>
      <c r="V77" s="26">
        <f t="shared" si="4"/>
        <v>75.84489122919682</v>
      </c>
    </row>
    <row r="78" spans="3:22" s="20" customFormat="1" ht="48.75" customHeight="1">
      <c r="C78" s="27"/>
      <c r="D78" s="27"/>
      <c r="E78" s="27"/>
      <c r="F78" s="31" t="s">
        <v>419</v>
      </c>
      <c r="G78" s="103">
        <v>1236371</v>
      </c>
      <c r="H78" s="109">
        <v>926042</v>
      </c>
      <c r="I78" s="109">
        <v>1028110</v>
      </c>
      <c r="J78" s="25">
        <f t="shared" si="0"/>
        <v>83.1554606182125</v>
      </c>
      <c r="K78" s="8"/>
      <c r="L78" s="103"/>
      <c r="M78" s="104"/>
      <c r="N78" s="124"/>
      <c r="O78" s="125"/>
      <c r="P78" s="25"/>
      <c r="Q78" s="43"/>
      <c r="R78" s="103">
        <f t="shared" si="5"/>
        <v>1236371</v>
      </c>
      <c r="S78" s="103">
        <f t="shared" si="1"/>
        <v>926042</v>
      </c>
      <c r="T78" s="106">
        <f t="shared" si="2"/>
        <v>1028110</v>
      </c>
      <c r="U78" s="106">
        <f t="shared" si="3"/>
        <v>0</v>
      </c>
      <c r="V78" s="26">
        <f t="shared" si="4"/>
        <v>83.1554606182125</v>
      </c>
    </row>
    <row r="79" spans="3:22" s="20" customFormat="1" ht="36" customHeight="1">
      <c r="C79" s="27"/>
      <c r="D79" s="27"/>
      <c r="E79" s="27"/>
      <c r="F79" s="140" t="s">
        <v>481</v>
      </c>
      <c r="G79" s="103">
        <v>35000</v>
      </c>
      <c r="H79" s="109">
        <v>35000</v>
      </c>
      <c r="I79" s="109">
        <v>29913</v>
      </c>
      <c r="J79" s="25">
        <f t="shared" si="0"/>
        <v>85.46571428571428</v>
      </c>
      <c r="K79" s="8"/>
      <c r="L79" s="103"/>
      <c r="M79" s="104"/>
      <c r="N79" s="124"/>
      <c r="O79" s="125"/>
      <c r="P79" s="25"/>
      <c r="Q79" s="43"/>
      <c r="R79" s="103">
        <f t="shared" si="5"/>
        <v>35000</v>
      </c>
      <c r="S79" s="103">
        <f t="shared" si="1"/>
        <v>35000</v>
      </c>
      <c r="T79" s="106">
        <f t="shared" si="2"/>
        <v>29913</v>
      </c>
      <c r="U79" s="106">
        <f t="shared" si="3"/>
        <v>0</v>
      </c>
      <c r="V79" s="26">
        <f t="shared" si="4"/>
        <v>85.46571428571428</v>
      </c>
    </row>
    <row r="80" spans="3:22" s="20" customFormat="1" ht="28.5" customHeight="1">
      <c r="C80" s="27"/>
      <c r="D80" s="27"/>
      <c r="E80" s="27"/>
      <c r="F80" s="31" t="s">
        <v>389</v>
      </c>
      <c r="G80" s="103">
        <v>263345</v>
      </c>
      <c r="H80" s="109">
        <v>249680</v>
      </c>
      <c r="I80" s="109">
        <v>106826.29</v>
      </c>
      <c r="J80" s="25">
        <f t="shared" si="0"/>
        <v>40.56514837950217</v>
      </c>
      <c r="K80" s="8"/>
      <c r="L80" s="103"/>
      <c r="M80" s="103"/>
      <c r="N80" s="109"/>
      <c r="O80" s="125"/>
      <c r="P80" s="25"/>
      <c r="Q80" s="43"/>
      <c r="R80" s="103">
        <f t="shared" si="5"/>
        <v>263345</v>
      </c>
      <c r="S80" s="103">
        <f t="shared" si="1"/>
        <v>249680</v>
      </c>
      <c r="T80" s="106">
        <f t="shared" si="2"/>
        <v>106826.29</v>
      </c>
      <c r="U80" s="106">
        <f t="shared" si="3"/>
        <v>0</v>
      </c>
      <c r="V80" s="26">
        <f t="shared" si="4"/>
        <v>40.56514837950217</v>
      </c>
    </row>
    <row r="81" spans="3:22" s="20" customFormat="1" ht="57.75" customHeight="1">
      <c r="C81" s="27"/>
      <c r="D81" s="27"/>
      <c r="E81" s="27"/>
      <c r="F81" s="31" t="s">
        <v>306</v>
      </c>
      <c r="G81" s="103">
        <v>10000</v>
      </c>
      <c r="H81" s="109">
        <v>10000</v>
      </c>
      <c r="I81" s="109">
        <v>6738.88</v>
      </c>
      <c r="J81" s="25">
        <f t="shared" si="0"/>
        <v>67.3888</v>
      </c>
      <c r="K81" s="8"/>
      <c r="L81" s="103"/>
      <c r="M81" s="103"/>
      <c r="N81" s="109"/>
      <c r="O81" s="125"/>
      <c r="P81" s="25"/>
      <c r="Q81" s="43"/>
      <c r="R81" s="103">
        <f aca="true" t="shared" si="11" ref="R81:T83">G81+L81</f>
        <v>10000</v>
      </c>
      <c r="S81" s="103">
        <f t="shared" si="11"/>
        <v>10000</v>
      </c>
      <c r="T81" s="106">
        <f t="shared" si="11"/>
        <v>6738.88</v>
      </c>
      <c r="U81" s="106">
        <f>O81</f>
        <v>0</v>
      </c>
      <c r="V81" s="26">
        <f>T81/R81*100</f>
        <v>67.3888</v>
      </c>
    </row>
    <row r="82" spans="3:22" s="20" customFormat="1" ht="30.75">
      <c r="C82" s="27" t="s">
        <v>512</v>
      </c>
      <c r="D82" s="27" t="s">
        <v>491</v>
      </c>
      <c r="E82" s="27"/>
      <c r="F82" s="153" t="s">
        <v>513</v>
      </c>
      <c r="G82" s="103">
        <f>G83</f>
        <v>0</v>
      </c>
      <c r="H82" s="109"/>
      <c r="I82" s="109"/>
      <c r="J82" s="25"/>
      <c r="K82" s="8"/>
      <c r="L82" s="103">
        <f>L83</f>
        <v>170000</v>
      </c>
      <c r="M82" s="103">
        <f>M83</f>
        <v>170000</v>
      </c>
      <c r="N82" s="103">
        <f>N83</f>
        <v>170000</v>
      </c>
      <c r="O82" s="103">
        <f>O83</f>
        <v>170000</v>
      </c>
      <c r="P82" s="25">
        <f>N82/L82*100</f>
        <v>100</v>
      </c>
      <c r="Q82" s="43"/>
      <c r="R82" s="103">
        <f t="shared" si="11"/>
        <v>170000</v>
      </c>
      <c r="S82" s="103">
        <f t="shared" si="11"/>
        <v>170000</v>
      </c>
      <c r="T82" s="106">
        <f t="shared" si="11"/>
        <v>170000</v>
      </c>
      <c r="U82" s="106">
        <f>O82</f>
        <v>170000</v>
      </c>
      <c r="V82" s="26">
        <f>T82/R82*100</f>
        <v>100</v>
      </c>
    </row>
    <row r="83" spans="3:22" s="20" customFormat="1" ht="46.5">
      <c r="C83" s="27"/>
      <c r="D83" s="27"/>
      <c r="E83" s="27"/>
      <c r="F83" s="90" t="s">
        <v>514</v>
      </c>
      <c r="G83" s="103"/>
      <c r="H83" s="109"/>
      <c r="I83" s="109"/>
      <c r="J83" s="25"/>
      <c r="K83" s="8"/>
      <c r="L83" s="103">
        <v>170000</v>
      </c>
      <c r="M83" s="103">
        <v>170000</v>
      </c>
      <c r="N83" s="109">
        <v>170000</v>
      </c>
      <c r="O83" s="125">
        <v>170000</v>
      </c>
      <c r="P83" s="25">
        <f>N83/L83*100</f>
        <v>100</v>
      </c>
      <c r="Q83" s="43"/>
      <c r="R83" s="103">
        <f t="shared" si="11"/>
        <v>170000</v>
      </c>
      <c r="S83" s="103">
        <f t="shared" si="11"/>
        <v>170000</v>
      </c>
      <c r="T83" s="106">
        <f t="shared" si="11"/>
        <v>170000</v>
      </c>
      <c r="U83" s="106">
        <f>O83</f>
        <v>170000</v>
      </c>
      <c r="V83" s="26">
        <f>T83/R83*100</f>
        <v>100</v>
      </c>
    </row>
    <row r="84" spans="3:22" s="17" customFormat="1" ht="24" customHeight="1">
      <c r="C84" s="23" t="s">
        <v>500</v>
      </c>
      <c r="D84" s="23" t="s">
        <v>151</v>
      </c>
      <c r="E84" s="23"/>
      <c r="F84" s="32" t="s">
        <v>501</v>
      </c>
      <c r="G84" s="103">
        <f>G85</f>
        <v>30846</v>
      </c>
      <c r="H84" s="103">
        <f>H85</f>
        <v>30846</v>
      </c>
      <c r="I84" s="103">
        <f>I85</f>
        <v>30846</v>
      </c>
      <c r="J84" s="25">
        <f t="shared" si="0"/>
        <v>100</v>
      </c>
      <c r="K84" s="5">
        <f aca="true" t="shared" si="12" ref="K84:Q84">K85</f>
        <v>0</v>
      </c>
      <c r="L84" s="103">
        <f>N84+Q84</f>
        <v>0</v>
      </c>
      <c r="M84" s="107">
        <f t="shared" si="12"/>
        <v>0</v>
      </c>
      <c r="N84" s="107">
        <f t="shared" si="12"/>
        <v>0</v>
      </c>
      <c r="O84" s="119">
        <f t="shared" si="12"/>
        <v>0</v>
      </c>
      <c r="P84" s="25"/>
      <c r="Q84" s="5">
        <f t="shared" si="12"/>
        <v>0</v>
      </c>
      <c r="R84" s="103">
        <f t="shared" si="5"/>
        <v>30846</v>
      </c>
      <c r="S84" s="103">
        <f t="shared" si="1"/>
        <v>30846</v>
      </c>
      <c r="T84" s="106">
        <f t="shared" si="2"/>
        <v>30846</v>
      </c>
      <c r="U84" s="106">
        <f t="shared" si="3"/>
        <v>0</v>
      </c>
      <c r="V84" s="26">
        <f t="shared" si="4"/>
        <v>100</v>
      </c>
    </row>
    <row r="85" spans="3:22" s="20" customFormat="1" ht="60" customHeight="1">
      <c r="C85" s="27"/>
      <c r="D85" s="27"/>
      <c r="E85" s="27"/>
      <c r="F85" s="33" t="s">
        <v>502</v>
      </c>
      <c r="G85" s="103">
        <v>30846</v>
      </c>
      <c r="H85" s="103">
        <v>30846</v>
      </c>
      <c r="I85" s="103">
        <v>30846</v>
      </c>
      <c r="J85" s="25">
        <f t="shared" si="0"/>
        <v>100</v>
      </c>
      <c r="K85" s="1"/>
      <c r="L85" s="103">
        <f>N85+Q85</f>
        <v>0</v>
      </c>
      <c r="M85" s="104"/>
      <c r="N85" s="120"/>
      <c r="O85" s="118"/>
      <c r="P85" s="25"/>
      <c r="Q85" s="6"/>
      <c r="R85" s="103">
        <f t="shared" si="5"/>
        <v>30846</v>
      </c>
      <c r="S85" s="103">
        <f t="shared" si="1"/>
        <v>30846</v>
      </c>
      <c r="T85" s="106">
        <f t="shared" si="2"/>
        <v>30846</v>
      </c>
      <c r="U85" s="106">
        <f t="shared" si="3"/>
        <v>0</v>
      </c>
      <c r="V85" s="26">
        <f t="shared" si="4"/>
        <v>100</v>
      </c>
    </row>
    <row r="86" spans="3:22" s="17" customFormat="1" ht="40.5" customHeight="1">
      <c r="C86" s="23"/>
      <c r="D86" s="23"/>
      <c r="E86" s="23"/>
      <c r="F86" s="45" t="s">
        <v>6</v>
      </c>
      <c r="G86" s="108">
        <f>G41+G45+G51+G62+G66+G69+G74+G84+G77+G82</f>
        <v>194649369.23</v>
      </c>
      <c r="H86" s="108">
        <f>H41+H45+H51+H62+H66+H69+H74+H84+H77</f>
        <v>160076461.04000002</v>
      </c>
      <c r="I86" s="108">
        <f>I41+I45+I51+I62+I66+I69+I74+I84+I77</f>
        <v>186837135.22999993</v>
      </c>
      <c r="J86" s="25">
        <f aca="true" t="shared" si="13" ref="J86:J152">I86/G86*100</f>
        <v>95.98650947038568</v>
      </c>
      <c r="K86" s="7" t="e">
        <f>K41+K45+K51+K62+K66+K69+K74+K84+#REF!+#REF!+#REF!+K77</f>
        <v>#REF!</v>
      </c>
      <c r="L86" s="108">
        <f>L41+L45+L51+L62+L66+L69+L74+L84+L77+L82</f>
        <v>12358829.030000001</v>
      </c>
      <c r="M86" s="108">
        <f>M41+M45+M51+M62+M66+M69+M74+M84+M77+M82</f>
        <v>11925722.280000001</v>
      </c>
      <c r="N86" s="108">
        <f>N41+N45+N51+N62+N66+N69+N74+N84+N77+N82</f>
        <v>8965504.71</v>
      </c>
      <c r="O86" s="108">
        <f>O41+O45+O51+O62+O66+O69+O74+O84+O77+O82</f>
        <v>2808293</v>
      </c>
      <c r="P86" s="39">
        <f>N86/L86*100</f>
        <v>72.5433185315292</v>
      </c>
      <c r="Q86" s="7" t="e">
        <f>Q41+Q45+Q51+Q62+Q66+Q69+Q74+Q84+#REF!+#REF!+#REF!+Q77</f>
        <v>#REF!</v>
      </c>
      <c r="R86" s="103">
        <f aca="true" t="shared" si="14" ref="R86:R152">G86+L86</f>
        <v>207008198.26</v>
      </c>
      <c r="S86" s="103">
        <f aca="true" t="shared" si="15" ref="S86:S152">H86+M86</f>
        <v>172002183.32000002</v>
      </c>
      <c r="T86" s="106">
        <f aca="true" t="shared" si="16" ref="T86:T152">I86+N86</f>
        <v>195802639.93999994</v>
      </c>
      <c r="U86" s="106">
        <f aca="true" t="shared" si="17" ref="U86:U152">O86</f>
        <v>2808293</v>
      </c>
      <c r="V86" s="26">
        <f aca="true" t="shared" si="18" ref="V86:V152">T86/R86*100</f>
        <v>94.58690118836454</v>
      </c>
    </row>
    <row r="87" spans="3:46" s="17" customFormat="1" ht="42.75" customHeight="1">
      <c r="C87" s="18" t="s">
        <v>94</v>
      </c>
      <c r="D87" s="18"/>
      <c r="E87" s="18"/>
      <c r="F87" s="19" t="s">
        <v>368</v>
      </c>
      <c r="G87" s="103"/>
      <c r="H87" s="103"/>
      <c r="I87" s="103"/>
      <c r="J87" s="25"/>
      <c r="K87" s="1"/>
      <c r="L87" s="103"/>
      <c r="M87" s="103"/>
      <c r="N87" s="103"/>
      <c r="O87" s="117"/>
      <c r="P87" s="25"/>
      <c r="Q87" s="1"/>
      <c r="R87" s="103"/>
      <c r="S87" s="103"/>
      <c r="T87" s="106"/>
      <c r="U87" s="106"/>
      <c r="V87" s="2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row>
    <row r="88" spans="3:46" s="20" customFormat="1" ht="45" customHeight="1">
      <c r="C88" s="21" t="s">
        <v>95</v>
      </c>
      <c r="D88" s="21"/>
      <c r="E88" s="21"/>
      <c r="F88" s="22" t="s">
        <v>420</v>
      </c>
      <c r="G88" s="104"/>
      <c r="H88" s="104"/>
      <c r="I88" s="104"/>
      <c r="J88" s="25"/>
      <c r="K88" s="6"/>
      <c r="L88" s="104"/>
      <c r="M88" s="104"/>
      <c r="N88" s="104"/>
      <c r="O88" s="118"/>
      <c r="P88" s="25"/>
      <c r="Q88" s="6"/>
      <c r="R88" s="103"/>
      <c r="S88" s="103"/>
      <c r="T88" s="106"/>
      <c r="U88" s="106"/>
      <c r="V88" s="26"/>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row>
    <row r="89" spans="3:46" s="20" customFormat="1" ht="37.5" customHeight="1">
      <c r="C89" s="27"/>
      <c r="D89" s="27"/>
      <c r="E89" s="27"/>
      <c r="F89" s="28" t="s">
        <v>461</v>
      </c>
      <c r="G89" s="104">
        <f>G95+G96+G97+G102+G110+G111+G112+G134+G135+G146+G152+G162+G173</f>
        <v>10878523.530000001</v>
      </c>
      <c r="H89" s="104">
        <f>H95+H96+H97+H102+H110+H111+H112+H134+H135+H146+H152+H162+H173</f>
        <v>10199528.13</v>
      </c>
      <c r="I89" s="104">
        <f>I95+I96+I97+I102+I110+I111+I112+I134+I135+I146+I152+I162+I173</f>
        <v>10817749.200000001</v>
      </c>
      <c r="J89" s="25">
        <f t="shared" si="13"/>
        <v>99.44133659469135</v>
      </c>
      <c r="K89" s="6" t="e">
        <f>K95+#REF!+#REF!+#REF!+K110+K112+#REF!+K122+#REF!+#REF!+#REF!+#REF!+#REF!+#REF!++#REF!+#REF!+#REF!+#REF!+#REF!+#REF!+#REF!+#REF!+#REF!+#REF!+#REF!+#REF!+#REF!+K134+#REF!+#REF!+K135+K146+K152+K162</f>
        <v>#REF!</v>
      </c>
      <c r="L89" s="104">
        <f>L95+L96+L97+L102+L110+L111+L112+L134+L135+L146+L152+L162+L173</f>
        <v>456406.16000000003</v>
      </c>
      <c r="M89" s="104">
        <f>M95+M96+M97+M102+M110+M111+M112+M134+M135+M146+M152+M162+M173</f>
        <v>651001.56</v>
      </c>
      <c r="N89" s="104">
        <f>N95+N96+N97+N102+N110+N111+N112+N134+N135+N146+N152+N162+N173</f>
        <v>454126.16000000003</v>
      </c>
      <c r="O89" s="104">
        <f>O95+O96+O97+O102+O110+O111+O112+O134+O135+O146+O152+O162+O173</f>
        <v>454126.16000000003</v>
      </c>
      <c r="P89" s="25">
        <f>N89/L89*100</f>
        <v>99.50044495455539</v>
      </c>
      <c r="Q89" s="6" t="e">
        <f>Q95+#REF!+#REF!+#REF!+Q110+Q112+#REF!+Q122+#REF!+#REF!+#REF!+#REF!+#REF!+#REF!++#REF!+#REF!+#REF!+#REF!+#REF!+#REF!+#REF!+#REF!+#REF!+#REF!+#REF!+#REF!+#REF!+Q134+#REF!+#REF!+Q135+Q146+Q152+Q162</f>
        <v>#REF!</v>
      </c>
      <c r="R89" s="103">
        <f t="shared" si="14"/>
        <v>11334929.690000001</v>
      </c>
      <c r="S89" s="103">
        <f t="shared" si="15"/>
        <v>10850529.690000001</v>
      </c>
      <c r="T89" s="106">
        <f t="shared" si="16"/>
        <v>11271875.360000001</v>
      </c>
      <c r="U89" s="106">
        <f t="shared" si="17"/>
        <v>454126.16000000003</v>
      </c>
      <c r="V89" s="26">
        <f t="shared" si="18"/>
        <v>99.44371662000138</v>
      </c>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row>
    <row r="90" spans="1:22" s="17" customFormat="1" ht="42.75" customHeight="1">
      <c r="A90" s="17">
        <v>3</v>
      </c>
      <c r="B90" s="17">
        <v>18</v>
      </c>
      <c r="C90" s="23" t="s">
        <v>96</v>
      </c>
      <c r="D90" s="23" t="s">
        <v>32</v>
      </c>
      <c r="E90" s="23" t="s">
        <v>29</v>
      </c>
      <c r="F90" s="40" t="s">
        <v>97</v>
      </c>
      <c r="G90" s="103">
        <f>G91+G92</f>
        <v>9260310</v>
      </c>
      <c r="H90" s="103">
        <f>H91+H92</f>
        <v>7091376</v>
      </c>
      <c r="I90" s="103">
        <f>I91+I92</f>
        <v>9238568.66</v>
      </c>
      <c r="J90" s="25">
        <f t="shared" si="13"/>
        <v>99.76522017081501</v>
      </c>
      <c r="K90" s="1"/>
      <c r="L90" s="103">
        <f>L91+L92</f>
        <v>1017.36</v>
      </c>
      <c r="M90" s="103">
        <f>M91+M92</f>
        <v>1017.36</v>
      </c>
      <c r="N90" s="103">
        <f>N91+N92</f>
        <v>0</v>
      </c>
      <c r="O90" s="103">
        <f>O91+O92</f>
        <v>0</v>
      </c>
      <c r="P90" s="25">
        <f>N90/L90*100</f>
        <v>0</v>
      </c>
      <c r="Q90" s="1"/>
      <c r="R90" s="103">
        <f t="shared" si="14"/>
        <v>9261327.36</v>
      </c>
      <c r="S90" s="103">
        <f t="shared" si="15"/>
        <v>7092393.36</v>
      </c>
      <c r="T90" s="106">
        <f t="shared" si="16"/>
        <v>9238568.66</v>
      </c>
      <c r="U90" s="106">
        <f t="shared" si="17"/>
        <v>0</v>
      </c>
      <c r="V90" s="26">
        <f t="shared" si="18"/>
        <v>99.75426092702116</v>
      </c>
    </row>
    <row r="91" spans="3:22" s="17" customFormat="1" ht="24" customHeight="1">
      <c r="C91" s="23"/>
      <c r="D91" s="23"/>
      <c r="E91" s="23"/>
      <c r="F91" s="31" t="s">
        <v>465</v>
      </c>
      <c r="G91" s="103">
        <v>9203610</v>
      </c>
      <c r="H91" s="103">
        <v>7001226</v>
      </c>
      <c r="I91" s="103">
        <v>9187637.06</v>
      </c>
      <c r="J91" s="25">
        <f t="shared" si="13"/>
        <v>99.82644918678649</v>
      </c>
      <c r="K91" s="1"/>
      <c r="L91" s="103">
        <v>1017.36</v>
      </c>
      <c r="M91" s="103">
        <v>1017.36</v>
      </c>
      <c r="N91" s="103"/>
      <c r="O91" s="117"/>
      <c r="P91" s="25">
        <f>N91/L91*100</f>
        <v>0</v>
      </c>
      <c r="Q91" s="1"/>
      <c r="R91" s="103">
        <f t="shared" si="14"/>
        <v>9204627.36</v>
      </c>
      <c r="S91" s="103">
        <f t="shared" si="15"/>
        <v>7002243.36</v>
      </c>
      <c r="T91" s="106">
        <f t="shared" si="16"/>
        <v>9187637.06</v>
      </c>
      <c r="U91" s="106">
        <f t="shared" si="17"/>
        <v>0</v>
      </c>
      <c r="V91" s="26">
        <f t="shared" si="18"/>
        <v>99.81541566719113</v>
      </c>
    </row>
    <row r="92" spans="3:22" s="17" customFormat="1" ht="55.5" customHeight="1">
      <c r="C92" s="23"/>
      <c r="D92" s="23"/>
      <c r="E92" s="23"/>
      <c r="F92" s="28" t="s">
        <v>306</v>
      </c>
      <c r="G92" s="103">
        <v>56700</v>
      </c>
      <c r="H92" s="103">
        <v>90150</v>
      </c>
      <c r="I92" s="103">
        <v>50931.6</v>
      </c>
      <c r="J92" s="25">
        <f t="shared" si="13"/>
        <v>89.82645502645502</v>
      </c>
      <c r="K92" s="1"/>
      <c r="L92" s="103"/>
      <c r="M92" s="103"/>
      <c r="N92" s="103"/>
      <c r="O92" s="117"/>
      <c r="P92" s="25"/>
      <c r="Q92" s="1"/>
      <c r="R92" s="103">
        <f t="shared" si="14"/>
        <v>56700</v>
      </c>
      <c r="S92" s="103">
        <f t="shared" si="15"/>
        <v>90150</v>
      </c>
      <c r="T92" s="106">
        <f t="shared" si="16"/>
        <v>50931.6</v>
      </c>
      <c r="U92" s="106">
        <f t="shared" si="17"/>
        <v>0</v>
      </c>
      <c r="V92" s="26">
        <f t="shared" si="18"/>
        <v>89.82645502645502</v>
      </c>
    </row>
    <row r="93" spans="3:22" s="29" customFormat="1" ht="34.5" customHeight="1">
      <c r="C93" s="48"/>
      <c r="D93" s="48"/>
      <c r="E93" s="48"/>
      <c r="F93" s="49" t="s">
        <v>181</v>
      </c>
      <c r="G93" s="108">
        <f>G94+G101+G105+G106+G107+G108+G113+G115+G114</f>
        <v>39488069.53</v>
      </c>
      <c r="H93" s="108">
        <f>H94+H101+H105+H106+H107+H108+H113+H115+H114</f>
        <v>33453905.13</v>
      </c>
      <c r="I93" s="108">
        <f>I94+I101+I105+I106+I107+I108+I113+I115+I114</f>
        <v>38532039.45</v>
      </c>
      <c r="J93" s="25">
        <f t="shared" si="13"/>
        <v>97.57893943315288</v>
      </c>
      <c r="K93" s="7" t="e">
        <f>K94+K101+K105+K106+K107+K108+K113+#REF!+K115+#REF!</f>
        <v>#REF!</v>
      </c>
      <c r="L93" s="108">
        <f>L94+L101+L105+L106+L107+L108+L113+L115+L114</f>
        <v>8378861.16</v>
      </c>
      <c r="M93" s="108">
        <f>M94+M101+M105+M106+M107+M108+M113+M115+M114</f>
        <v>8450606.56</v>
      </c>
      <c r="N93" s="108">
        <f>N94+N101+N105+N106+N107+N108+N113+N115+N114</f>
        <v>8309421.32</v>
      </c>
      <c r="O93" s="108">
        <f>O94+O101+O105+O106+O107+O108+O113+O115+O114</f>
        <v>8309421.32</v>
      </c>
      <c r="P93" s="25">
        <f>N93/L93*100</f>
        <v>99.17124966419661</v>
      </c>
      <c r="Q93" s="7" t="e">
        <f>Q94+Q101+Q105+Q106+Q107+Q108+Q113+#REF!+Q115+#REF!</f>
        <v>#REF!</v>
      </c>
      <c r="R93" s="103">
        <f t="shared" si="14"/>
        <v>47866930.69</v>
      </c>
      <c r="S93" s="103">
        <f t="shared" si="15"/>
        <v>41904511.69</v>
      </c>
      <c r="T93" s="106">
        <f t="shared" si="16"/>
        <v>46841460.77</v>
      </c>
      <c r="U93" s="106">
        <f t="shared" si="17"/>
        <v>8309421.32</v>
      </c>
      <c r="V93" s="26">
        <f t="shared" si="18"/>
        <v>97.85766518718061</v>
      </c>
    </row>
    <row r="94" spans="3:22" s="17" customFormat="1" ht="49.5" customHeight="1">
      <c r="C94" s="41" t="s">
        <v>121</v>
      </c>
      <c r="D94" s="41" t="s">
        <v>85</v>
      </c>
      <c r="E94" s="41" t="s">
        <v>86</v>
      </c>
      <c r="F94" s="35" t="s">
        <v>285</v>
      </c>
      <c r="G94" s="107">
        <f>SUM(G95:G100)</f>
        <v>31663639.4</v>
      </c>
      <c r="H94" s="107">
        <f>SUM(H95:H100)</f>
        <v>27174937</v>
      </c>
      <c r="I94" s="107">
        <f>SUM(I95:I100)</f>
        <v>30950599.58</v>
      </c>
      <c r="J94" s="25">
        <f t="shared" si="13"/>
        <v>97.74808002645456</v>
      </c>
      <c r="K94" s="5">
        <f>SUM(K95:K100)</f>
        <v>0</v>
      </c>
      <c r="L94" s="107">
        <f>SUM(L95:L100)</f>
        <v>8276861.16</v>
      </c>
      <c r="M94" s="107">
        <f>SUM(M95:M100)</f>
        <v>8391606.56</v>
      </c>
      <c r="N94" s="107">
        <f>SUM(N95:N100)</f>
        <v>8207572.52</v>
      </c>
      <c r="O94" s="107">
        <f>SUM(O95:O100)</f>
        <v>8207572.52</v>
      </c>
      <c r="P94" s="25">
        <f>N94/L94*100</f>
        <v>99.1628633287356</v>
      </c>
      <c r="Q94" s="5">
        <f>SUM(Q95:Q100)</f>
        <v>31600</v>
      </c>
      <c r="R94" s="103">
        <f t="shared" si="14"/>
        <v>39940500.56</v>
      </c>
      <c r="S94" s="103">
        <f t="shared" si="15"/>
        <v>35566543.56</v>
      </c>
      <c r="T94" s="106">
        <f t="shared" si="16"/>
        <v>39158172.099999994</v>
      </c>
      <c r="U94" s="106">
        <f t="shared" si="17"/>
        <v>8207572.52</v>
      </c>
      <c r="V94" s="26">
        <f t="shared" si="18"/>
        <v>98.04126525949577</v>
      </c>
    </row>
    <row r="95" spans="3:22" s="20" customFormat="1" ht="25.5" customHeight="1">
      <c r="C95" s="50"/>
      <c r="D95" s="50"/>
      <c r="E95" s="50"/>
      <c r="F95" s="51" t="s">
        <v>421</v>
      </c>
      <c r="G95" s="103">
        <v>7787500</v>
      </c>
      <c r="H95" s="103">
        <v>7787500</v>
      </c>
      <c r="I95" s="103">
        <v>7787500</v>
      </c>
      <c r="J95" s="25">
        <f t="shared" si="13"/>
        <v>100</v>
      </c>
      <c r="K95" s="1"/>
      <c r="L95" s="103"/>
      <c r="M95" s="104"/>
      <c r="N95" s="120"/>
      <c r="O95" s="118"/>
      <c r="P95" s="25"/>
      <c r="Q95" s="6"/>
      <c r="R95" s="103">
        <f t="shared" si="14"/>
        <v>7787500</v>
      </c>
      <c r="S95" s="103">
        <f t="shared" si="15"/>
        <v>7787500</v>
      </c>
      <c r="T95" s="106">
        <f t="shared" si="16"/>
        <v>7787500</v>
      </c>
      <c r="U95" s="106">
        <f t="shared" si="17"/>
        <v>0</v>
      </c>
      <c r="V95" s="26">
        <f t="shared" si="18"/>
        <v>100</v>
      </c>
    </row>
    <row r="96" spans="3:22" s="20" customFormat="1" ht="25.5" customHeight="1">
      <c r="C96" s="50"/>
      <c r="D96" s="50"/>
      <c r="E96" s="50"/>
      <c r="F96" s="141" t="s">
        <v>482</v>
      </c>
      <c r="G96" s="103">
        <v>570000</v>
      </c>
      <c r="H96" s="103">
        <v>570000</v>
      </c>
      <c r="I96" s="103">
        <v>570000</v>
      </c>
      <c r="J96" s="25">
        <f t="shared" si="13"/>
        <v>100</v>
      </c>
      <c r="K96" s="1"/>
      <c r="L96" s="103"/>
      <c r="M96" s="104"/>
      <c r="N96" s="120"/>
      <c r="O96" s="118"/>
      <c r="P96" s="25"/>
      <c r="Q96" s="6"/>
      <c r="R96" s="103">
        <f t="shared" si="14"/>
        <v>570000</v>
      </c>
      <c r="S96" s="103">
        <f t="shared" si="15"/>
        <v>570000</v>
      </c>
      <c r="T96" s="106">
        <f t="shared" si="16"/>
        <v>570000</v>
      </c>
      <c r="U96" s="106">
        <f t="shared" si="17"/>
        <v>0</v>
      </c>
      <c r="V96" s="26">
        <f t="shared" si="18"/>
        <v>100</v>
      </c>
    </row>
    <row r="97" spans="3:22" s="20" customFormat="1" ht="34.5" customHeight="1">
      <c r="C97" s="50"/>
      <c r="D97" s="50"/>
      <c r="E97" s="50"/>
      <c r="F97" s="141" t="s">
        <v>483</v>
      </c>
      <c r="G97" s="103">
        <v>194595.4</v>
      </c>
      <c r="H97" s="103"/>
      <c r="I97" s="103">
        <v>194587.56</v>
      </c>
      <c r="J97" s="25">
        <f t="shared" si="13"/>
        <v>99.99597112778616</v>
      </c>
      <c r="K97" s="1"/>
      <c r="L97" s="103">
        <v>151406.16</v>
      </c>
      <c r="M97" s="104">
        <v>346001.56</v>
      </c>
      <c r="N97" s="120">
        <v>151406.16</v>
      </c>
      <c r="O97" s="118">
        <f>N97</f>
        <v>151406.16</v>
      </c>
      <c r="P97" s="25">
        <f>N97/L97*100</f>
        <v>100</v>
      </c>
      <c r="Q97" s="6"/>
      <c r="R97" s="103">
        <f t="shared" si="14"/>
        <v>346001.56</v>
      </c>
      <c r="S97" s="103">
        <f t="shared" si="15"/>
        <v>346001.56</v>
      </c>
      <c r="T97" s="106">
        <f t="shared" si="16"/>
        <v>345993.72</v>
      </c>
      <c r="U97" s="106">
        <f t="shared" si="17"/>
        <v>151406.16</v>
      </c>
      <c r="V97" s="26">
        <f t="shared" si="18"/>
        <v>99.99773411426237</v>
      </c>
    </row>
    <row r="98" spans="3:22" s="20" customFormat="1" ht="43.5" customHeight="1">
      <c r="C98" s="50"/>
      <c r="D98" s="50"/>
      <c r="E98" s="50"/>
      <c r="F98" s="51" t="s">
        <v>447</v>
      </c>
      <c r="G98" s="103">
        <v>17848352</v>
      </c>
      <c r="H98" s="103">
        <v>16896722</v>
      </c>
      <c r="I98" s="103">
        <v>17422288.34</v>
      </c>
      <c r="J98" s="25">
        <f t="shared" si="13"/>
        <v>97.61286834773317</v>
      </c>
      <c r="K98" s="1"/>
      <c r="L98" s="103">
        <v>1486847</v>
      </c>
      <c r="M98" s="103">
        <v>1406997</v>
      </c>
      <c r="N98" s="103">
        <v>1459240.7</v>
      </c>
      <c r="O98" s="117">
        <f>N98</f>
        <v>1459240.7</v>
      </c>
      <c r="P98" s="25">
        <f>N98/L98*100</f>
        <v>98.14329920966985</v>
      </c>
      <c r="Q98" s="1">
        <v>31600</v>
      </c>
      <c r="R98" s="103">
        <f t="shared" si="14"/>
        <v>19335199</v>
      </c>
      <c r="S98" s="103">
        <f t="shared" si="15"/>
        <v>18303719</v>
      </c>
      <c r="T98" s="106">
        <f t="shared" si="16"/>
        <v>18881529.04</v>
      </c>
      <c r="U98" s="106">
        <f t="shared" si="17"/>
        <v>1459240.7</v>
      </c>
      <c r="V98" s="26">
        <f t="shared" si="18"/>
        <v>97.65365766341478</v>
      </c>
    </row>
    <row r="99" spans="3:22" s="20" customFormat="1" ht="35.25" customHeight="1">
      <c r="C99" s="50"/>
      <c r="D99" s="50"/>
      <c r="E99" s="50"/>
      <c r="F99" s="51" t="s">
        <v>347</v>
      </c>
      <c r="G99" s="103">
        <v>17300</v>
      </c>
      <c r="H99" s="103">
        <v>17300</v>
      </c>
      <c r="I99" s="103">
        <v>15198</v>
      </c>
      <c r="J99" s="25">
        <f t="shared" si="13"/>
        <v>87.84971098265896</v>
      </c>
      <c r="K99" s="1"/>
      <c r="L99" s="103">
        <v>87953</v>
      </c>
      <c r="M99" s="103">
        <v>87953</v>
      </c>
      <c r="N99" s="103">
        <v>87953</v>
      </c>
      <c r="O99" s="117">
        <f>N99</f>
        <v>87953</v>
      </c>
      <c r="P99" s="25">
        <f>N99/L99*100</f>
        <v>100</v>
      </c>
      <c r="Q99" s="6"/>
      <c r="R99" s="103">
        <f t="shared" si="14"/>
        <v>105253</v>
      </c>
      <c r="S99" s="103">
        <f t="shared" si="15"/>
        <v>105253</v>
      </c>
      <c r="T99" s="106">
        <f t="shared" si="16"/>
        <v>103151</v>
      </c>
      <c r="U99" s="106">
        <f t="shared" si="17"/>
        <v>87953</v>
      </c>
      <c r="V99" s="26">
        <f t="shared" si="18"/>
        <v>98.00290728055258</v>
      </c>
    </row>
    <row r="100" spans="3:22" s="20" customFormat="1" ht="54" customHeight="1">
      <c r="C100" s="50"/>
      <c r="D100" s="50"/>
      <c r="E100" s="50"/>
      <c r="F100" s="28" t="s">
        <v>306</v>
      </c>
      <c r="G100" s="103">
        <v>5245892</v>
      </c>
      <c r="H100" s="103">
        <v>1903415</v>
      </c>
      <c r="I100" s="103">
        <v>4961025.68</v>
      </c>
      <c r="J100" s="25">
        <f t="shared" si="13"/>
        <v>94.56972579687115</v>
      </c>
      <c r="K100" s="1"/>
      <c r="L100" s="103">
        <v>6550655</v>
      </c>
      <c r="M100" s="103">
        <v>6550655</v>
      </c>
      <c r="N100" s="103">
        <v>6508972.66</v>
      </c>
      <c r="O100" s="117">
        <f>N100</f>
        <v>6508972.66</v>
      </c>
      <c r="P100" s="25">
        <f>N100/L100*100</f>
        <v>99.3636920277438</v>
      </c>
      <c r="Q100" s="6"/>
      <c r="R100" s="103">
        <f t="shared" si="14"/>
        <v>11796547</v>
      </c>
      <c r="S100" s="103">
        <f t="shared" si="15"/>
        <v>8454070</v>
      </c>
      <c r="T100" s="106">
        <f t="shared" si="16"/>
        <v>11469998.34</v>
      </c>
      <c r="U100" s="106">
        <f t="shared" si="17"/>
        <v>6508972.66</v>
      </c>
      <c r="V100" s="26">
        <f t="shared" si="18"/>
        <v>97.23182843250656</v>
      </c>
    </row>
    <row r="101" spans="3:22" s="17" customFormat="1" ht="39.75" customHeight="1">
      <c r="C101" s="41" t="s">
        <v>232</v>
      </c>
      <c r="D101" s="41" t="s">
        <v>233</v>
      </c>
      <c r="E101" s="41" t="s">
        <v>234</v>
      </c>
      <c r="F101" s="52" t="s">
        <v>235</v>
      </c>
      <c r="G101" s="107">
        <f>SUM(G102:G104)</f>
        <v>4296449</v>
      </c>
      <c r="H101" s="107">
        <f>SUM(H102:H104)</f>
        <v>3198849</v>
      </c>
      <c r="I101" s="107">
        <f>SUM(I102:I104)</f>
        <v>4261245.07</v>
      </c>
      <c r="J101" s="25">
        <f t="shared" si="13"/>
        <v>99.18062730408298</v>
      </c>
      <c r="K101" s="107">
        <f>SUM(K103:K104)</f>
        <v>0</v>
      </c>
      <c r="L101" s="107">
        <f>SUM(L102:L104)</f>
        <v>87000</v>
      </c>
      <c r="M101" s="107">
        <f>SUM(M102:M104)</f>
        <v>44000</v>
      </c>
      <c r="N101" s="107">
        <f>SUM(N102:N104)</f>
        <v>86848.9</v>
      </c>
      <c r="O101" s="107">
        <f>SUM(O103:O104)</f>
        <v>86848.9</v>
      </c>
      <c r="P101" s="25">
        <f>N101/L101*100</f>
        <v>99.82632183908045</v>
      </c>
      <c r="Q101" s="107">
        <f>SUM(Q103:Q104)</f>
        <v>0</v>
      </c>
      <c r="R101" s="103">
        <f>G101+L101</f>
        <v>4383449</v>
      </c>
      <c r="S101" s="103">
        <f t="shared" si="15"/>
        <v>3242849</v>
      </c>
      <c r="T101" s="106">
        <f t="shared" si="16"/>
        <v>4348093.970000001</v>
      </c>
      <c r="U101" s="106">
        <f t="shared" si="17"/>
        <v>86848.9</v>
      </c>
      <c r="V101" s="26">
        <f t="shared" si="18"/>
        <v>99.19344265212166</v>
      </c>
    </row>
    <row r="102" spans="3:22" s="17" customFormat="1" ht="27" customHeight="1">
      <c r="C102" s="41"/>
      <c r="D102" s="41"/>
      <c r="E102" s="41"/>
      <c r="F102" s="52" t="s">
        <v>503</v>
      </c>
      <c r="G102" s="107">
        <v>105000</v>
      </c>
      <c r="H102" s="107">
        <v>105000</v>
      </c>
      <c r="I102" s="107">
        <v>105000</v>
      </c>
      <c r="J102" s="25"/>
      <c r="K102" s="107"/>
      <c r="L102" s="107"/>
      <c r="M102" s="107"/>
      <c r="N102" s="107"/>
      <c r="O102" s="107"/>
      <c r="P102" s="25"/>
      <c r="Q102" s="107"/>
      <c r="R102" s="103">
        <f>G102+L102</f>
        <v>105000</v>
      </c>
      <c r="S102" s="103">
        <f>H102+M102</f>
        <v>105000</v>
      </c>
      <c r="T102" s="106">
        <f>I102+N102</f>
        <v>105000</v>
      </c>
      <c r="U102" s="106">
        <f>O102</f>
        <v>0</v>
      </c>
      <c r="V102" s="26">
        <f>T102/R102*100</f>
        <v>100</v>
      </c>
    </row>
    <row r="103" spans="3:22" s="17" customFormat="1" ht="36" customHeight="1">
      <c r="C103" s="41"/>
      <c r="D103" s="41"/>
      <c r="E103" s="41"/>
      <c r="F103" s="52" t="s">
        <v>484</v>
      </c>
      <c r="G103" s="107">
        <v>571000</v>
      </c>
      <c r="H103" s="107">
        <v>428900</v>
      </c>
      <c r="I103" s="107">
        <v>565273.82</v>
      </c>
      <c r="J103" s="25">
        <f t="shared" si="13"/>
        <v>98.99716637478107</v>
      </c>
      <c r="K103" s="5"/>
      <c r="L103" s="107"/>
      <c r="M103" s="107"/>
      <c r="N103" s="107"/>
      <c r="O103" s="119"/>
      <c r="P103" s="25"/>
      <c r="Q103" s="5"/>
      <c r="R103" s="103">
        <f t="shared" si="14"/>
        <v>571000</v>
      </c>
      <c r="S103" s="103">
        <f t="shared" si="15"/>
        <v>428900</v>
      </c>
      <c r="T103" s="106">
        <f t="shared" si="16"/>
        <v>565273.82</v>
      </c>
      <c r="U103" s="106">
        <f t="shared" si="17"/>
        <v>0</v>
      </c>
      <c r="V103" s="26">
        <f t="shared" si="18"/>
        <v>98.99716637478107</v>
      </c>
    </row>
    <row r="104" spans="3:22" s="20" customFormat="1" ht="60" customHeight="1">
      <c r="C104" s="50"/>
      <c r="D104" s="50"/>
      <c r="E104" s="50"/>
      <c r="F104" s="28" t="s">
        <v>306</v>
      </c>
      <c r="G104" s="103">
        <v>3620449</v>
      </c>
      <c r="H104" s="103">
        <v>2664949</v>
      </c>
      <c r="I104" s="103">
        <v>3590971.25</v>
      </c>
      <c r="J104" s="25">
        <f t="shared" si="13"/>
        <v>99.18579850178804</v>
      </c>
      <c r="K104" s="1"/>
      <c r="L104" s="103">
        <v>87000</v>
      </c>
      <c r="M104" s="103">
        <v>44000</v>
      </c>
      <c r="N104" s="103">
        <v>86848.9</v>
      </c>
      <c r="O104" s="117">
        <f>N104</f>
        <v>86848.9</v>
      </c>
      <c r="P104" s="25">
        <f>N104/L104*100</f>
        <v>99.82632183908045</v>
      </c>
      <c r="Q104" s="1"/>
      <c r="R104" s="103">
        <f t="shared" si="14"/>
        <v>3707449</v>
      </c>
      <c r="S104" s="103">
        <f t="shared" si="15"/>
        <v>2708949</v>
      </c>
      <c r="T104" s="106">
        <f t="shared" si="16"/>
        <v>3677820.15</v>
      </c>
      <c r="U104" s="106">
        <f t="shared" si="17"/>
        <v>86848.9</v>
      </c>
      <c r="V104" s="26">
        <f t="shared" si="18"/>
        <v>99.20082919549263</v>
      </c>
    </row>
    <row r="105" spans="3:22" s="17" customFormat="1" ht="60" customHeight="1">
      <c r="C105" s="53" t="s">
        <v>152</v>
      </c>
      <c r="D105" s="53" t="s">
        <v>122</v>
      </c>
      <c r="E105" s="53" t="s">
        <v>44</v>
      </c>
      <c r="F105" s="40" t="s">
        <v>331</v>
      </c>
      <c r="G105" s="103">
        <v>11520</v>
      </c>
      <c r="H105" s="103">
        <v>20500</v>
      </c>
      <c r="I105" s="103"/>
      <c r="J105" s="25">
        <f t="shared" si="13"/>
        <v>0</v>
      </c>
      <c r="K105" s="1"/>
      <c r="L105" s="103"/>
      <c r="M105" s="103"/>
      <c r="N105" s="121"/>
      <c r="O105" s="117"/>
      <c r="P105" s="25"/>
      <c r="Q105" s="1"/>
      <c r="R105" s="103">
        <f t="shared" si="14"/>
        <v>11520</v>
      </c>
      <c r="S105" s="103">
        <f t="shared" si="15"/>
        <v>20500</v>
      </c>
      <c r="T105" s="106">
        <f t="shared" si="16"/>
        <v>0</v>
      </c>
      <c r="U105" s="106">
        <f t="shared" si="17"/>
        <v>0</v>
      </c>
      <c r="V105" s="26">
        <f t="shared" si="18"/>
        <v>0</v>
      </c>
    </row>
    <row r="106" spans="3:22" s="17" customFormat="1" ht="58.5" customHeight="1">
      <c r="C106" s="53" t="s">
        <v>153</v>
      </c>
      <c r="D106" s="53" t="s">
        <v>123</v>
      </c>
      <c r="E106" s="53" t="s">
        <v>44</v>
      </c>
      <c r="F106" s="52" t="s">
        <v>422</v>
      </c>
      <c r="G106" s="103">
        <v>44946</v>
      </c>
      <c r="H106" s="103">
        <v>53190</v>
      </c>
      <c r="I106" s="103">
        <v>44945.26</v>
      </c>
      <c r="J106" s="25">
        <f t="shared" si="13"/>
        <v>99.99835357985138</v>
      </c>
      <c r="K106" s="1"/>
      <c r="L106" s="103"/>
      <c r="M106" s="103"/>
      <c r="N106" s="121"/>
      <c r="O106" s="117"/>
      <c r="P106" s="25"/>
      <c r="Q106" s="1"/>
      <c r="R106" s="103">
        <f t="shared" si="14"/>
        <v>44946</v>
      </c>
      <c r="S106" s="103">
        <f t="shared" si="15"/>
        <v>53190</v>
      </c>
      <c r="T106" s="106">
        <f t="shared" si="16"/>
        <v>44945.26</v>
      </c>
      <c r="U106" s="106">
        <f t="shared" si="17"/>
        <v>0</v>
      </c>
      <c r="V106" s="26">
        <f t="shared" si="18"/>
        <v>99.99835357985138</v>
      </c>
    </row>
    <row r="107" spans="3:22" s="17" customFormat="1" ht="63.75" customHeight="1">
      <c r="C107" s="53" t="s">
        <v>154</v>
      </c>
      <c r="D107" s="53" t="s">
        <v>124</v>
      </c>
      <c r="E107" s="53" t="s">
        <v>44</v>
      </c>
      <c r="F107" s="52" t="s">
        <v>332</v>
      </c>
      <c r="G107" s="103">
        <v>11875</v>
      </c>
      <c r="H107" s="103">
        <v>29250</v>
      </c>
      <c r="I107" s="103">
        <v>11874.06</v>
      </c>
      <c r="J107" s="25">
        <f t="shared" si="13"/>
        <v>99.99208421052631</v>
      </c>
      <c r="K107" s="1"/>
      <c r="L107" s="103"/>
      <c r="M107" s="103"/>
      <c r="N107" s="121"/>
      <c r="O107" s="117"/>
      <c r="P107" s="25"/>
      <c r="Q107" s="1"/>
      <c r="R107" s="103">
        <f t="shared" si="14"/>
        <v>11875</v>
      </c>
      <c r="S107" s="103">
        <f t="shared" si="15"/>
        <v>29250</v>
      </c>
      <c r="T107" s="106">
        <f t="shared" si="16"/>
        <v>11874.06</v>
      </c>
      <c r="U107" s="106">
        <f t="shared" si="17"/>
        <v>0</v>
      </c>
      <c r="V107" s="26">
        <f t="shared" si="18"/>
        <v>99.99208421052631</v>
      </c>
    </row>
    <row r="108" spans="3:22" s="17" customFormat="1" ht="51" customHeight="1">
      <c r="C108" s="53" t="s">
        <v>155</v>
      </c>
      <c r="D108" s="53" t="s">
        <v>126</v>
      </c>
      <c r="E108" s="53" t="s">
        <v>44</v>
      </c>
      <c r="F108" s="52" t="s">
        <v>125</v>
      </c>
      <c r="G108" s="107">
        <f>SUM(G109:G112)</f>
        <v>2040128.13</v>
      </c>
      <c r="H108" s="107">
        <f>SUM(H109:H112)</f>
        <v>1290028.13</v>
      </c>
      <c r="I108" s="107">
        <f>SUM(I109:I112)</f>
        <v>1877476.79</v>
      </c>
      <c r="J108" s="25">
        <f t="shared" si="13"/>
        <v>92.02739584792648</v>
      </c>
      <c r="K108" s="5">
        <f>SUM(K109:K112)</f>
        <v>0</v>
      </c>
      <c r="L108" s="107">
        <f>SUM(L109:L112)</f>
        <v>0</v>
      </c>
      <c r="M108" s="107">
        <f>SUM(M109:M112)</f>
        <v>0</v>
      </c>
      <c r="N108" s="107">
        <f>SUM(N109:N112)</f>
        <v>0</v>
      </c>
      <c r="O108" s="119">
        <f>SUM(O109:O112)</f>
        <v>0</v>
      </c>
      <c r="P108" s="25"/>
      <c r="Q108" s="5">
        <f>SUM(Q109:Q112)</f>
        <v>0</v>
      </c>
      <c r="R108" s="103">
        <f t="shared" si="14"/>
        <v>2040128.13</v>
      </c>
      <c r="S108" s="103">
        <f t="shared" si="15"/>
        <v>1290028.13</v>
      </c>
      <c r="T108" s="106">
        <f t="shared" si="16"/>
        <v>1877476.79</v>
      </c>
      <c r="U108" s="106">
        <f t="shared" si="17"/>
        <v>0</v>
      </c>
      <c r="V108" s="26">
        <f t="shared" si="18"/>
        <v>92.02739584792648</v>
      </c>
    </row>
    <row r="109" spans="3:22" s="17" customFormat="1" ht="41.25" customHeight="1">
      <c r="C109" s="54"/>
      <c r="D109" s="54"/>
      <c r="E109" s="54"/>
      <c r="F109" s="51" t="s">
        <v>383</v>
      </c>
      <c r="G109" s="103">
        <v>647000</v>
      </c>
      <c r="H109" s="103">
        <v>240000</v>
      </c>
      <c r="I109" s="103">
        <v>484348.66</v>
      </c>
      <c r="J109" s="25">
        <f t="shared" si="13"/>
        <v>74.86068933539413</v>
      </c>
      <c r="K109" s="1"/>
      <c r="L109" s="103"/>
      <c r="M109" s="104"/>
      <c r="N109" s="103"/>
      <c r="O109" s="117"/>
      <c r="P109" s="25"/>
      <c r="Q109" s="1"/>
      <c r="R109" s="103">
        <f t="shared" si="14"/>
        <v>647000</v>
      </c>
      <c r="S109" s="103">
        <f t="shared" si="15"/>
        <v>240000</v>
      </c>
      <c r="T109" s="106">
        <f t="shared" si="16"/>
        <v>484348.66</v>
      </c>
      <c r="U109" s="106">
        <f t="shared" si="17"/>
        <v>0</v>
      </c>
      <c r="V109" s="26">
        <f t="shared" si="18"/>
        <v>74.86068933539413</v>
      </c>
    </row>
    <row r="110" spans="3:22" s="17" customFormat="1" ht="39" customHeight="1">
      <c r="C110" s="54"/>
      <c r="D110" s="54"/>
      <c r="E110" s="54"/>
      <c r="F110" s="51" t="s">
        <v>455</v>
      </c>
      <c r="G110" s="103">
        <v>150728.13</v>
      </c>
      <c r="H110" s="103">
        <v>150728.13</v>
      </c>
      <c r="I110" s="103">
        <v>150728.13</v>
      </c>
      <c r="J110" s="25">
        <f t="shared" si="13"/>
        <v>100</v>
      </c>
      <c r="K110" s="1"/>
      <c r="L110" s="103"/>
      <c r="M110" s="104"/>
      <c r="N110" s="121"/>
      <c r="O110" s="117"/>
      <c r="P110" s="25"/>
      <c r="Q110" s="1"/>
      <c r="R110" s="103">
        <f t="shared" si="14"/>
        <v>150728.13</v>
      </c>
      <c r="S110" s="103">
        <f t="shared" si="15"/>
        <v>150728.13</v>
      </c>
      <c r="T110" s="106">
        <f t="shared" si="16"/>
        <v>150728.13</v>
      </c>
      <c r="U110" s="106">
        <f t="shared" si="17"/>
        <v>0</v>
      </c>
      <c r="V110" s="26">
        <f t="shared" si="18"/>
        <v>100</v>
      </c>
    </row>
    <row r="111" spans="3:22" s="17" customFormat="1" ht="39" customHeight="1">
      <c r="C111" s="54"/>
      <c r="D111" s="54"/>
      <c r="E111" s="54"/>
      <c r="F111" s="141" t="s">
        <v>485</v>
      </c>
      <c r="G111" s="103">
        <v>1021900</v>
      </c>
      <c r="H111" s="103">
        <v>678800</v>
      </c>
      <c r="I111" s="103">
        <v>1021900</v>
      </c>
      <c r="J111" s="25">
        <f t="shared" si="13"/>
        <v>100</v>
      </c>
      <c r="K111" s="1"/>
      <c r="L111" s="103"/>
      <c r="M111" s="104"/>
      <c r="N111" s="121"/>
      <c r="O111" s="117"/>
      <c r="P111" s="25"/>
      <c r="Q111" s="1"/>
      <c r="R111" s="103">
        <f t="shared" si="14"/>
        <v>1021900</v>
      </c>
      <c r="S111" s="103">
        <f t="shared" si="15"/>
        <v>678800</v>
      </c>
      <c r="T111" s="106">
        <f t="shared" si="16"/>
        <v>1021900</v>
      </c>
      <c r="U111" s="106">
        <f t="shared" si="17"/>
        <v>0</v>
      </c>
      <c r="V111" s="26">
        <f t="shared" si="18"/>
        <v>100</v>
      </c>
    </row>
    <row r="112" spans="3:22" s="17" customFormat="1" ht="78" customHeight="1">
      <c r="C112" s="54"/>
      <c r="D112" s="54"/>
      <c r="E112" s="54"/>
      <c r="F112" s="51" t="s">
        <v>423</v>
      </c>
      <c r="G112" s="103">
        <v>220500</v>
      </c>
      <c r="H112" s="103">
        <v>220500</v>
      </c>
      <c r="I112" s="103">
        <v>220500</v>
      </c>
      <c r="J112" s="25">
        <f t="shared" si="13"/>
        <v>100</v>
      </c>
      <c r="K112" s="1"/>
      <c r="L112" s="103"/>
      <c r="M112" s="104"/>
      <c r="N112" s="121"/>
      <c r="O112" s="117"/>
      <c r="P112" s="25"/>
      <c r="Q112" s="1"/>
      <c r="R112" s="103">
        <f t="shared" si="14"/>
        <v>220500</v>
      </c>
      <c r="S112" s="103">
        <f t="shared" si="15"/>
        <v>220500</v>
      </c>
      <c r="T112" s="106">
        <f t="shared" si="16"/>
        <v>220500</v>
      </c>
      <c r="U112" s="106">
        <f t="shared" si="17"/>
        <v>0</v>
      </c>
      <c r="V112" s="26">
        <f t="shared" si="18"/>
        <v>100</v>
      </c>
    </row>
    <row r="113" spans="3:22" s="17" customFormat="1" ht="57.75" customHeight="1">
      <c r="C113" s="23" t="s">
        <v>226</v>
      </c>
      <c r="D113" s="23" t="s">
        <v>127</v>
      </c>
      <c r="E113" s="23" t="s">
        <v>44</v>
      </c>
      <c r="F113" s="40" t="s">
        <v>333</v>
      </c>
      <c r="G113" s="103">
        <v>355000</v>
      </c>
      <c r="H113" s="103">
        <v>342000</v>
      </c>
      <c r="I113" s="103">
        <v>355000</v>
      </c>
      <c r="J113" s="25">
        <f t="shared" si="13"/>
        <v>100</v>
      </c>
      <c r="K113" s="1"/>
      <c r="L113" s="103"/>
      <c r="M113" s="103"/>
      <c r="N113" s="121"/>
      <c r="O113" s="117"/>
      <c r="P113" s="25"/>
      <c r="Q113" s="1"/>
      <c r="R113" s="103">
        <f t="shared" si="14"/>
        <v>355000</v>
      </c>
      <c r="S113" s="103">
        <f t="shared" si="15"/>
        <v>342000</v>
      </c>
      <c r="T113" s="106">
        <f t="shared" si="16"/>
        <v>355000</v>
      </c>
      <c r="U113" s="106">
        <f t="shared" si="17"/>
        <v>0</v>
      </c>
      <c r="V113" s="26">
        <f t="shared" si="18"/>
        <v>100</v>
      </c>
    </row>
    <row r="114" spans="3:22" s="17" customFormat="1" ht="19.5" customHeight="1">
      <c r="C114" s="23" t="s">
        <v>505</v>
      </c>
      <c r="D114" s="135" t="s">
        <v>504</v>
      </c>
      <c r="E114" s="23"/>
      <c r="F114" s="90" t="s">
        <v>506</v>
      </c>
      <c r="G114" s="150">
        <v>9546</v>
      </c>
      <c r="H114" s="103">
        <v>9546</v>
      </c>
      <c r="I114" s="103">
        <v>9545.95</v>
      </c>
      <c r="J114" s="25">
        <f t="shared" si="13"/>
        <v>99.99947622040646</v>
      </c>
      <c r="K114" s="1"/>
      <c r="L114" s="103">
        <v>15000</v>
      </c>
      <c r="M114" s="103">
        <v>15000</v>
      </c>
      <c r="N114" s="121">
        <v>14999.9</v>
      </c>
      <c r="O114" s="117">
        <f>N114</f>
        <v>14999.9</v>
      </c>
      <c r="P114" s="25">
        <f>N114/L114*100</f>
        <v>99.99933333333333</v>
      </c>
      <c r="Q114" s="1"/>
      <c r="R114" s="103">
        <f>G114+L114</f>
        <v>24546</v>
      </c>
      <c r="S114" s="103">
        <f>H114+M114</f>
        <v>24546</v>
      </c>
      <c r="T114" s="106">
        <f>I114+N114</f>
        <v>24545.85</v>
      </c>
      <c r="U114" s="106">
        <f>O114</f>
        <v>14999.9</v>
      </c>
      <c r="V114" s="26">
        <f>T114/R114*100</f>
        <v>99.99938890246884</v>
      </c>
    </row>
    <row r="115" spans="3:22" s="17" customFormat="1" ht="30.75" customHeight="1">
      <c r="C115" s="53" t="s">
        <v>236</v>
      </c>
      <c r="D115" s="53" t="s">
        <v>276</v>
      </c>
      <c r="E115" s="53" t="s">
        <v>44</v>
      </c>
      <c r="F115" s="52" t="s">
        <v>237</v>
      </c>
      <c r="G115" s="107">
        <f>SUM(G116:G122)</f>
        <v>1054966</v>
      </c>
      <c r="H115" s="107">
        <f>SUM(H116:H122)</f>
        <v>1335605</v>
      </c>
      <c r="I115" s="107">
        <f>SUM(I116:I122)</f>
        <v>1021352.74</v>
      </c>
      <c r="J115" s="25">
        <f t="shared" si="13"/>
        <v>96.81380632172032</v>
      </c>
      <c r="K115" s="5">
        <f aca="true" t="shared" si="19" ref="K115:Q115">SUM(K116:K122)</f>
        <v>0</v>
      </c>
      <c r="L115" s="107">
        <f>SUM(L116:L122)</f>
        <v>0</v>
      </c>
      <c r="M115" s="107">
        <f t="shared" si="19"/>
        <v>0</v>
      </c>
      <c r="N115" s="107">
        <f t="shared" si="19"/>
        <v>0</v>
      </c>
      <c r="O115" s="119">
        <f t="shared" si="19"/>
        <v>0</v>
      </c>
      <c r="P115" s="25"/>
      <c r="Q115" s="5">
        <f t="shared" si="19"/>
        <v>0</v>
      </c>
      <c r="R115" s="103">
        <f t="shared" si="14"/>
        <v>1054966</v>
      </c>
      <c r="S115" s="103">
        <f t="shared" si="15"/>
        <v>1335605</v>
      </c>
      <c r="T115" s="106">
        <f t="shared" si="16"/>
        <v>1021352.74</v>
      </c>
      <c r="U115" s="106">
        <f t="shared" si="17"/>
        <v>0</v>
      </c>
      <c r="V115" s="26">
        <f t="shared" si="18"/>
        <v>96.81380632172032</v>
      </c>
    </row>
    <row r="116" spans="3:22" s="17" customFormat="1" ht="56.25" customHeight="1">
      <c r="C116" s="53"/>
      <c r="D116" s="23"/>
      <c r="E116" s="23"/>
      <c r="F116" s="28" t="s">
        <v>334</v>
      </c>
      <c r="G116" s="103">
        <v>229686</v>
      </c>
      <c r="H116" s="103">
        <v>223785</v>
      </c>
      <c r="I116" s="103">
        <v>221885.6</v>
      </c>
      <c r="J116" s="25">
        <f t="shared" si="13"/>
        <v>96.60388530428499</v>
      </c>
      <c r="K116" s="1"/>
      <c r="L116" s="103"/>
      <c r="M116" s="104"/>
      <c r="N116" s="121"/>
      <c r="O116" s="117"/>
      <c r="P116" s="25"/>
      <c r="Q116" s="1"/>
      <c r="R116" s="103">
        <f t="shared" si="14"/>
        <v>229686</v>
      </c>
      <c r="S116" s="103">
        <f t="shared" si="15"/>
        <v>223785</v>
      </c>
      <c r="T116" s="106">
        <f t="shared" si="16"/>
        <v>221885.6</v>
      </c>
      <c r="U116" s="106">
        <f t="shared" si="17"/>
        <v>0</v>
      </c>
      <c r="V116" s="26">
        <f t="shared" si="18"/>
        <v>96.60388530428499</v>
      </c>
    </row>
    <row r="117" spans="3:22" s="17" customFormat="1" ht="53.25" customHeight="1">
      <c r="C117" s="53"/>
      <c r="D117" s="23"/>
      <c r="E117" s="53"/>
      <c r="F117" s="28" t="s">
        <v>335</v>
      </c>
      <c r="G117" s="103">
        <v>31100</v>
      </c>
      <c r="H117" s="103">
        <v>48000</v>
      </c>
      <c r="I117" s="103">
        <v>29565.55</v>
      </c>
      <c r="J117" s="25">
        <f t="shared" si="13"/>
        <v>95.06607717041801</v>
      </c>
      <c r="K117" s="1"/>
      <c r="L117" s="103"/>
      <c r="M117" s="104"/>
      <c r="N117" s="121"/>
      <c r="O117" s="117"/>
      <c r="P117" s="25"/>
      <c r="Q117" s="1"/>
      <c r="R117" s="103">
        <f t="shared" si="14"/>
        <v>31100</v>
      </c>
      <c r="S117" s="103">
        <f t="shared" si="15"/>
        <v>48000</v>
      </c>
      <c r="T117" s="106">
        <f t="shared" si="16"/>
        <v>29565.55</v>
      </c>
      <c r="U117" s="106">
        <f t="shared" si="17"/>
        <v>0</v>
      </c>
      <c r="V117" s="26">
        <f t="shared" si="18"/>
        <v>95.06607717041801</v>
      </c>
    </row>
    <row r="118" spans="3:22" s="17" customFormat="1" ht="51.75" customHeight="1">
      <c r="C118" s="53"/>
      <c r="D118" s="23"/>
      <c r="E118" s="23"/>
      <c r="F118" s="28" t="s">
        <v>336</v>
      </c>
      <c r="G118" s="103">
        <v>243326</v>
      </c>
      <c r="H118" s="103">
        <v>476000</v>
      </c>
      <c r="I118" s="103">
        <v>243325.74</v>
      </c>
      <c r="J118" s="25">
        <f t="shared" si="13"/>
        <v>99.99989314746472</v>
      </c>
      <c r="K118" s="1"/>
      <c r="L118" s="103"/>
      <c r="M118" s="104"/>
      <c r="N118" s="121"/>
      <c r="O118" s="117"/>
      <c r="P118" s="25"/>
      <c r="Q118" s="1"/>
      <c r="R118" s="103">
        <f t="shared" si="14"/>
        <v>243326</v>
      </c>
      <c r="S118" s="103">
        <f t="shared" si="15"/>
        <v>476000</v>
      </c>
      <c r="T118" s="106">
        <f t="shared" si="16"/>
        <v>243325.74</v>
      </c>
      <c r="U118" s="106">
        <f t="shared" si="17"/>
        <v>0</v>
      </c>
      <c r="V118" s="26">
        <f t="shared" si="18"/>
        <v>99.99989314746472</v>
      </c>
    </row>
    <row r="119" spans="3:22" s="17" customFormat="1" ht="51.75" customHeight="1">
      <c r="C119" s="53"/>
      <c r="D119" s="23"/>
      <c r="E119" s="23"/>
      <c r="F119" s="28" t="s">
        <v>358</v>
      </c>
      <c r="G119" s="103">
        <v>236000</v>
      </c>
      <c r="H119" s="103">
        <v>184520</v>
      </c>
      <c r="I119" s="103">
        <v>220110.39</v>
      </c>
      <c r="J119" s="25">
        <f t="shared" si="13"/>
        <v>93.26711440677967</v>
      </c>
      <c r="K119" s="1"/>
      <c r="L119" s="103"/>
      <c r="M119" s="104"/>
      <c r="N119" s="121"/>
      <c r="O119" s="117"/>
      <c r="P119" s="25"/>
      <c r="Q119" s="1"/>
      <c r="R119" s="103">
        <f t="shared" si="14"/>
        <v>236000</v>
      </c>
      <c r="S119" s="103">
        <f t="shared" si="15"/>
        <v>184520</v>
      </c>
      <c r="T119" s="106">
        <f t="shared" si="16"/>
        <v>220110.39</v>
      </c>
      <c r="U119" s="106">
        <f t="shared" si="17"/>
        <v>0</v>
      </c>
      <c r="V119" s="26">
        <f t="shared" si="18"/>
        <v>93.26711440677967</v>
      </c>
    </row>
    <row r="120" spans="3:22" s="17" customFormat="1" ht="55.5" customHeight="1">
      <c r="C120" s="53"/>
      <c r="D120" s="23"/>
      <c r="E120" s="53"/>
      <c r="F120" s="28" t="s">
        <v>337</v>
      </c>
      <c r="G120" s="103">
        <v>61913</v>
      </c>
      <c r="H120" s="103">
        <v>138600</v>
      </c>
      <c r="I120" s="103">
        <v>61912.5</v>
      </c>
      <c r="J120" s="25">
        <f t="shared" si="13"/>
        <v>99.99919241516322</v>
      </c>
      <c r="K120" s="1"/>
      <c r="L120" s="103"/>
      <c r="M120" s="104"/>
      <c r="N120" s="121"/>
      <c r="O120" s="117"/>
      <c r="P120" s="25"/>
      <c r="Q120" s="1"/>
      <c r="R120" s="103">
        <f t="shared" si="14"/>
        <v>61913</v>
      </c>
      <c r="S120" s="103">
        <f t="shared" si="15"/>
        <v>138600</v>
      </c>
      <c r="T120" s="106">
        <f t="shared" si="16"/>
        <v>61912.5</v>
      </c>
      <c r="U120" s="106">
        <f t="shared" si="17"/>
        <v>0</v>
      </c>
      <c r="V120" s="26">
        <f t="shared" si="18"/>
        <v>99.99919241516322</v>
      </c>
    </row>
    <row r="121" spans="3:22" s="17" customFormat="1" ht="42" customHeight="1">
      <c r="C121" s="53"/>
      <c r="D121" s="23"/>
      <c r="E121" s="53"/>
      <c r="F121" s="28" t="s">
        <v>486</v>
      </c>
      <c r="G121" s="103">
        <v>38941</v>
      </c>
      <c r="H121" s="103">
        <v>87700</v>
      </c>
      <c r="I121" s="103">
        <v>30552.96</v>
      </c>
      <c r="J121" s="25">
        <f t="shared" si="13"/>
        <v>78.45961839706223</v>
      </c>
      <c r="K121" s="1"/>
      <c r="L121" s="103"/>
      <c r="M121" s="104"/>
      <c r="N121" s="121"/>
      <c r="O121" s="117"/>
      <c r="P121" s="25"/>
      <c r="Q121" s="1"/>
      <c r="R121" s="103">
        <f t="shared" si="14"/>
        <v>38941</v>
      </c>
      <c r="S121" s="103">
        <f t="shared" si="15"/>
        <v>87700</v>
      </c>
      <c r="T121" s="106">
        <f t="shared" si="16"/>
        <v>30552.96</v>
      </c>
      <c r="U121" s="106">
        <f t="shared" si="17"/>
        <v>0</v>
      </c>
      <c r="V121" s="26">
        <f t="shared" si="18"/>
        <v>78.45961839706223</v>
      </c>
    </row>
    <row r="122" spans="3:22" s="17" customFormat="1" ht="57" customHeight="1">
      <c r="C122" s="53"/>
      <c r="D122" s="23"/>
      <c r="E122" s="53"/>
      <c r="F122" s="90" t="s">
        <v>489</v>
      </c>
      <c r="G122" s="103">
        <v>214000</v>
      </c>
      <c r="H122" s="103">
        <v>177000</v>
      </c>
      <c r="I122" s="103">
        <v>214000</v>
      </c>
      <c r="J122" s="25">
        <f t="shared" si="13"/>
        <v>100</v>
      </c>
      <c r="K122" s="1"/>
      <c r="L122" s="103"/>
      <c r="M122" s="104"/>
      <c r="N122" s="121"/>
      <c r="O122" s="117"/>
      <c r="P122" s="25"/>
      <c r="Q122" s="1"/>
      <c r="R122" s="103">
        <f t="shared" si="14"/>
        <v>214000</v>
      </c>
      <c r="S122" s="103">
        <f t="shared" si="15"/>
        <v>177000</v>
      </c>
      <c r="T122" s="106">
        <f t="shared" si="16"/>
        <v>214000</v>
      </c>
      <c r="U122" s="106">
        <f t="shared" si="17"/>
        <v>0</v>
      </c>
      <c r="V122" s="26">
        <f t="shared" si="18"/>
        <v>100</v>
      </c>
    </row>
    <row r="123" spans="3:22" s="29" customFormat="1" ht="29.25" customHeight="1">
      <c r="C123" s="55"/>
      <c r="D123" s="18"/>
      <c r="E123" s="55"/>
      <c r="F123" s="19" t="s">
        <v>183</v>
      </c>
      <c r="G123" s="108">
        <f>G124+G127+G129+G132+G134+G135+G136+G140+G144+G146+G148+G151+G157+G166+G161</f>
        <v>16542467</v>
      </c>
      <c r="H123" s="108">
        <f>H124+H127+H129+H132+H134+H135+H136+H140+H144+H146+H148+H151+H157+H166+H161</f>
        <v>14001992</v>
      </c>
      <c r="I123" s="108">
        <f>I124+I127+I129+I132+I134+I135+I136+I140+I144+I146+I148+I151+I157+I166+I161</f>
        <v>16082799.32</v>
      </c>
      <c r="J123" s="25">
        <f t="shared" si="13"/>
        <v>97.22128700634555</v>
      </c>
      <c r="K123" s="7" t="e">
        <f>#REF!+#REF!+#REF!+#REF!+K124+K127+K129+K132+#REF!+#REF!+#REF!+#REF!+#REF!+#REF!+#REF!+K134+#REF!+#REF!+#REF!+#REF!+#REF!+#REF!+K135+K136+K140+#REF!+K144+K146+K148+K151+K157+K166+#REF!+K161+#REF!+#REF!</f>
        <v>#REF!</v>
      </c>
      <c r="L123" s="108">
        <f>L124+L127+L129+L132+L134+L135+L136+L140+L144+L146+L148+L151+L157+L166+L161</f>
        <v>1119120.7399999998</v>
      </c>
      <c r="M123" s="108">
        <f>M124+M127+M129+M132+M134+M135+M136+M140+M144+M146+M148+M151+M157+M166+M161</f>
        <v>1105034.7399999998</v>
      </c>
      <c r="N123" s="108">
        <f>N124+N127+N129+N132+N134+N135+N136+N140+N144+N146+N148+N151+N157+N166+N161</f>
        <v>1051977.1199999999</v>
      </c>
      <c r="O123" s="108">
        <f>O124+O127+O129+O132+O134+O135+O136+O140+O144+O146+O148+O151+O157+O166+O161</f>
        <v>849000</v>
      </c>
      <c r="P123" s="39">
        <f>N123/L123*100</f>
        <v>94.00032386139141</v>
      </c>
      <c r="Q123" s="7" t="e">
        <f>#REF!+#REF!+#REF!+#REF!+Q124+Q127+Q129+Q132+#REF!+#REF!+#REF!+#REF!+#REF!+#REF!+#REF!+Q134+#REF!+#REF!+#REF!+#REF!+#REF!+#REF!+Q135+Q136+Q140+#REF!+Q144+Q146+Q148+Q151+Q157+Q166+#REF!+Q161+#REF!+#REF!</f>
        <v>#REF!</v>
      </c>
      <c r="R123" s="103">
        <f t="shared" si="14"/>
        <v>17661587.74</v>
      </c>
      <c r="S123" s="103">
        <f t="shared" si="15"/>
        <v>15107026.74</v>
      </c>
      <c r="T123" s="106">
        <f t="shared" si="16"/>
        <v>17134776.44</v>
      </c>
      <c r="U123" s="106">
        <f t="shared" si="17"/>
        <v>849000</v>
      </c>
      <c r="V123" s="26">
        <f t="shared" si="18"/>
        <v>97.01719172842613</v>
      </c>
    </row>
    <row r="124" spans="3:22" s="56" customFormat="1" ht="40.5" customHeight="1">
      <c r="C124" s="23" t="s">
        <v>130</v>
      </c>
      <c r="D124" s="23" t="s">
        <v>84</v>
      </c>
      <c r="E124" s="23" t="s">
        <v>45</v>
      </c>
      <c r="F124" s="40" t="s">
        <v>128</v>
      </c>
      <c r="G124" s="107">
        <f>G125+G126</f>
        <v>25000</v>
      </c>
      <c r="H124" s="107">
        <f>H125+H126</f>
        <v>22900</v>
      </c>
      <c r="I124" s="107">
        <f>I125+I126</f>
        <v>16217.449999999999</v>
      </c>
      <c r="J124" s="25">
        <f t="shared" si="13"/>
        <v>64.8698</v>
      </c>
      <c r="K124" s="5">
        <f aca="true" t="shared" si="20" ref="K124:Q124">K125</f>
        <v>0</v>
      </c>
      <c r="L124" s="107">
        <f t="shared" si="20"/>
        <v>0</v>
      </c>
      <c r="M124" s="107">
        <f t="shared" si="20"/>
        <v>0</v>
      </c>
      <c r="N124" s="107">
        <f t="shared" si="20"/>
        <v>0</v>
      </c>
      <c r="O124" s="119">
        <f t="shared" si="20"/>
        <v>0</v>
      </c>
      <c r="P124" s="25"/>
      <c r="Q124" s="5">
        <f t="shared" si="20"/>
        <v>0</v>
      </c>
      <c r="R124" s="103">
        <f t="shared" si="14"/>
        <v>25000</v>
      </c>
      <c r="S124" s="103">
        <f t="shared" si="15"/>
        <v>22900</v>
      </c>
      <c r="T124" s="106">
        <f t="shared" si="16"/>
        <v>16217.449999999999</v>
      </c>
      <c r="U124" s="106">
        <f t="shared" si="17"/>
        <v>0</v>
      </c>
      <c r="V124" s="26">
        <f t="shared" si="18"/>
        <v>64.8698</v>
      </c>
    </row>
    <row r="125" spans="3:22" s="56" customFormat="1" ht="26.25" customHeight="1">
      <c r="C125" s="23"/>
      <c r="D125" s="23"/>
      <c r="E125" s="23"/>
      <c r="F125" s="31" t="s">
        <v>288</v>
      </c>
      <c r="G125" s="103">
        <v>20000</v>
      </c>
      <c r="H125" s="103">
        <v>14900</v>
      </c>
      <c r="I125" s="103">
        <v>14522.39</v>
      </c>
      <c r="J125" s="25">
        <f t="shared" si="13"/>
        <v>72.61195</v>
      </c>
      <c r="K125" s="6"/>
      <c r="L125" s="103"/>
      <c r="M125" s="120"/>
      <c r="N125" s="120"/>
      <c r="O125" s="118"/>
      <c r="P125" s="25"/>
      <c r="Q125" s="6"/>
      <c r="R125" s="103">
        <f t="shared" si="14"/>
        <v>20000</v>
      </c>
      <c r="S125" s="103">
        <f t="shared" si="15"/>
        <v>14900</v>
      </c>
      <c r="T125" s="106">
        <f t="shared" si="16"/>
        <v>14522.39</v>
      </c>
      <c r="U125" s="106">
        <f t="shared" si="17"/>
        <v>0</v>
      </c>
      <c r="V125" s="26">
        <f t="shared" si="18"/>
        <v>72.61195</v>
      </c>
    </row>
    <row r="126" spans="3:22" s="56" customFormat="1" ht="42" customHeight="1">
      <c r="C126" s="23"/>
      <c r="D126" s="23"/>
      <c r="E126" s="23"/>
      <c r="F126" s="31" t="s">
        <v>68</v>
      </c>
      <c r="G126" s="103">
        <v>5000</v>
      </c>
      <c r="H126" s="103">
        <v>8000</v>
      </c>
      <c r="I126" s="103">
        <v>1695.06</v>
      </c>
      <c r="J126" s="25">
        <f t="shared" si="13"/>
        <v>33.901199999999996</v>
      </c>
      <c r="K126" s="6"/>
      <c r="L126" s="103"/>
      <c r="M126" s="120"/>
      <c r="N126" s="120"/>
      <c r="O126" s="118"/>
      <c r="P126" s="25"/>
      <c r="Q126" s="6"/>
      <c r="R126" s="103">
        <f t="shared" si="14"/>
        <v>5000</v>
      </c>
      <c r="S126" s="103">
        <f t="shared" si="15"/>
        <v>8000</v>
      </c>
      <c r="T126" s="106">
        <f t="shared" si="16"/>
        <v>1695.06</v>
      </c>
      <c r="U126" s="106">
        <f t="shared" si="17"/>
        <v>0</v>
      </c>
      <c r="V126" s="26">
        <f t="shared" si="18"/>
        <v>33.901199999999996</v>
      </c>
    </row>
    <row r="127" spans="3:22" s="56" customFormat="1" ht="42.75" customHeight="1">
      <c r="C127" s="23" t="s">
        <v>131</v>
      </c>
      <c r="D127" s="23" t="s">
        <v>132</v>
      </c>
      <c r="E127" s="23" t="s">
        <v>41</v>
      </c>
      <c r="F127" s="40" t="s">
        <v>129</v>
      </c>
      <c r="G127" s="107">
        <f>G128</f>
        <v>117920</v>
      </c>
      <c r="H127" s="107">
        <f>H128</f>
        <v>150020</v>
      </c>
      <c r="I127" s="107">
        <f>I128</f>
        <v>116028.34</v>
      </c>
      <c r="J127" s="25">
        <f t="shared" si="13"/>
        <v>98.39581071913162</v>
      </c>
      <c r="K127" s="5">
        <f aca="true" t="shared" si="21" ref="K127:Q127">K128</f>
        <v>0</v>
      </c>
      <c r="L127" s="107">
        <f t="shared" si="21"/>
        <v>0</v>
      </c>
      <c r="M127" s="107">
        <f t="shared" si="21"/>
        <v>0</v>
      </c>
      <c r="N127" s="107">
        <f t="shared" si="21"/>
        <v>0</v>
      </c>
      <c r="O127" s="119">
        <f t="shared" si="21"/>
        <v>0</v>
      </c>
      <c r="P127" s="25"/>
      <c r="Q127" s="5">
        <f t="shared" si="21"/>
        <v>0</v>
      </c>
      <c r="R127" s="103">
        <f t="shared" si="14"/>
        <v>117920</v>
      </c>
      <c r="S127" s="103">
        <f t="shared" si="15"/>
        <v>150020</v>
      </c>
      <c r="T127" s="106">
        <f t="shared" si="16"/>
        <v>116028.34</v>
      </c>
      <c r="U127" s="106">
        <f t="shared" si="17"/>
        <v>0</v>
      </c>
      <c r="V127" s="26">
        <f t="shared" si="18"/>
        <v>98.39581071913162</v>
      </c>
    </row>
    <row r="128" spans="3:22" s="57" customFormat="1" ht="31.5" customHeight="1">
      <c r="C128" s="27"/>
      <c r="D128" s="27"/>
      <c r="E128" s="27"/>
      <c r="F128" s="28" t="s">
        <v>288</v>
      </c>
      <c r="G128" s="103">
        <v>117920</v>
      </c>
      <c r="H128" s="103">
        <v>150020</v>
      </c>
      <c r="I128" s="103">
        <v>116028.34</v>
      </c>
      <c r="J128" s="25">
        <f t="shared" si="13"/>
        <v>98.39581071913162</v>
      </c>
      <c r="K128" s="6"/>
      <c r="L128" s="103"/>
      <c r="M128" s="120"/>
      <c r="N128" s="120"/>
      <c r="O128" s="118"/>
      <c r="P128" s="25"/>
      <c r="Q128" s="6"/>
      <c r="R128" s="103">
        <f t="shared" si="14"/>
        <v>117920</v>
      </c>
      <c r="S128" s="103">
        <f t="shared" si="15"/>
        <v>150020</v>
      </c>
      <c r="T128" s="106">
        <f t="shared" si="16"/>
        <v>116028.34</v>
      </c>
      <c r="U128" s="106">
        <f t="shared" si="17"/>
        <v>0</v>
      </c>
      <c r="V128" s="26">
        <f t="shared" si="18"/>
        <v>98.39581071913162</v>
      </c>
    </row>
    <row r="129" spans="3:22" s="17" customFormat="1" ht="44.25" customHeight="1">
      <c r="C129" s="23" t="s">
        <v>134</v>
      </c>
      <c r="D129" s="23" t="s">
        <v>73</v>
      </c>
      <c r="E129" s="23" t="s">
        <v>41</v>
      </c>
      <c r="F129" s="24" t="s">
        <v>133</v>
      </c>
      <c r="G129" s="107">
        <f>G130+G131</f>
        <v>1926830</v>
      </c>
      <c r="H129" s="107">
        <f>H130+H131</f>
        <v>2601500</v>
      </c>
      <c r="I129" s="107">
        <f>I130+I131</f>
        <v>1896250.09</v>
      </c>
      <c r="J129" s="25">
        <f t="shared" si="13"/>
        <v>98.4129419824271</v>
      </c>
      <c r="K129" s="5">
        <f aca="true" t="shared" si="22" ref="K129:Q129">K130</f>
        <v>0</v>
      </c>
      <c r="L129" s="107">
        <f t="shared" si="22"/>
        <v>0</v>
      </c>
      <c r="M129" s="107">
        <f t="shared" si="22"/>
        <v>0</v>
      </c>
      <c r="N129" s="107">
        <f t="shared" si="22"/>
        <v>0</v>
      </c>
      <c r="O129" s="119">
        <f t="shared" si="22"/>
        <v>0</v>
      </c>
      <c r="P129" s="25"/>
      <c r="Q129" s="5">
        <f t="shared" si="22"/>
        <v>0</v>
      </c>
      <c r="R129" s="103">
        <f t="shared" si="14"/>
        <v>1926830</v>
      </c>
      <c r="S129" s="103">
        <f t="shared" si="15"/>
        <v>2601500</v>
      </c>
      <c r="T129" s="106">
        <f t="shared" si="16"/>
        <v>1896250.09</v>
      </c>
      <c r="U129" s="106">
        <f t="shared" si="17"/>
        <v>0</v>
      </c>
      <c r="V129" s="26">
        <f t="shared" si="18"/>
        <v>98.4129419824271</v>
      </c>
    </row>
    <row r="130" spans="3:22" s="20" customFormat="1" ht="30.75" customHeight="1">
      <c r="C130" s="27"/>
      <c r="D130" s="27"/>
      <c r="E130" s="27"/>
      <c r="F130" s="28" t="s">
        <v>288</v>
      </c>
      <c r="G130" s="103">
        <v>1908530</v>
      </c>
      <c r="H130" s="103">
        <v>2595200</v>
      </c>
      <c r="I130" s="103">
        <v>1891350.09</v>
      </c>
      <c r="J130" s="25">
        <f t="shared" si="13"/>
        <v>99.09983547547066</v>
      </c>
      <c r="K130" s="6"/>
      <c r="L130" s="103"/>
      <c r="M130" s="104"/>
      <c r="N130" s="120"/>
      <c r="O130" s="118"/>
      <c r="P130" s="25"/>
      <c r="Q130" s="6"/>
      <c r="R130" s="103">
        <f t="shared" si="14"/>
        <v>1908530</v>
      </c>
      <c r="S130" s="103">
        <f t="shared" si="15"/>
        <v>2595200</v>
      </c>
      <c r="T130" s="106">
        <f t="shared" si="16"/>
        <v>1891350.09</v>
      </c>
      <c r="U130" s="106">
        <f t="shared" si="17"/>
        <v>0</v>
      </c>
      <c r="V130" s="26">
        <f t="shared" si="18"/>
        <v>99.09983547547066</v>
      </c>
    </row>
    <row r="131" spans="3:22" s="20" customFormat="1" ht="42" customHeight="1">
      <c r="C131" s="27"/>
      <c r="D131" s="27"/>
      <c r="E131" s="27"/>
      <c r="F131" s="31" t="s">
        <v>68</v>
      </c>
      <c r="G131" s="103">
        <v>18300</v>
      </c>
      <c r="H131" s="103">
        <v>6300</v>
      </c>
      <c r="I131" s="103">
        <v>4900</v>
      </c>
      <c r="J131" s="25">
        <f t="shared" si="13"/>
        <v>26.775956284153008</v>
      </c>
      <c r="K131" s="6"/>
      <c r="L131" s="103"/>
      <c r="M131" s="104"/>
      <c r="N131" s="120"/>
      <c r="O131" s="118"/>
      <c r="P131" s="25"/>
      <c r="Q131" s="6"/>
      <c r="R131" s="103">
        <f>G131+L131</f>
        <v>18300</v>
      </c>
      <c r="S131" s="103">
        <f>H131+M131</f>
        <v>6300</v>
      </c>
      <c r="T131" s="106">
        <f>I131+N131</f>
        <v>4900</v>
      </c>
      <c r="U131" s="106">
        <f>O131</f>
        <v>0</v>
      </c>
      <c r="V131" s="26">
        <f>T131/R131*100</f>
        <v>26.775956284153008</v>
      </c>
    </row>
    <row r="132" spans="3:22" s="17" customFormat="1" ht="44.25" customHeight="1">
      <c r="C132" s="23" t="s">
        <v>136</v>
      </c>
      <c r="D132" s="23" t="s">
        <v>46</v>
      </c>
      <c r="E132" s="23" t="s">
        <v>41</v>
      </c>
      <c r="F132" s="24" t="s">
        <v>135</v>
      </c>
      <c r="G132" s="107">
        <f>G133</f>
        <v>79700</v>
      </c>
      <c r="H132" s="107">
        <f>H133</f>
        <v>129500</v>
      </c>
      <c r="I132" s="107">
        <f>I133</f>
        <v>60194.51</v>
      </c>
      <c r="J132" s="25">
        <f t="shared" si="13"/>
        <v>75.52636135508156</v>
      </c>
      <c r="K132" s="5">
        <f aca="true" t="shared" si="23" ref="K132:Q132">K133</f>
        <v>0</v>
      </c>
      <c r="L132" s="107">
        <f t="shared" si="23"/>
        <v>0</v>
      </c>
      <c r="M132" s="107">
        <f t="shared" si="23"/>
        <v>0</v>
      </c>
      <c r="N132" s="107">
        <f t="shared" si="23"/>
        <v>0</v>
      </c>
      <c r="O132" s="119">
        <f t="shared" si="23"/>
        <v>0</v>
      </c>
      <c r="P132" s="25"/>
      <c r="Q132" s="5">
        <f t="shared" si="23"/>
        <v>0</v>
      </c>
      <c r="R132" s="103">
        <f t="shared" si="14"/>
        <v>79700</v>
      </c>
      <c r="S132" s="103">
        <f t="shared" si="15"/>
        <v>129500</v>
      </c>
      <c r="T132" s="106">
        <f t="shared" si="16"/>
        <v>60194.51</v>
      </c>
      <c r="U132" s="106">
        <f t="shared" si="17"/>
        <v>0</v>
      </c>
      <c r="V132" s="26">
        <f t="shared" si="18"/>
        <v>75.52636135508156</v>
      </c>
    </row>
    <row r="133" spans="3:22" s="20" customFormat="1" ht="29.25" customHeight="1">
      <c r="C133" s="27"/>
      <c r="D133" s="27"/>
      <c r="E133" s="27"/>
      <c r="F133" s="28" t="s">
        <v>288</v>
      </c>
      <c r="G133" s="103">
        <v>79700</v>
      </c>
      <c r="H133" s="103">
        <v>129500</v>
      </c>
      <c r="I133" s="103">
        <v>60194.51</v>
      </c>
      <c r="J133" s="25">
        <f t="shared" si="13"/>
        <v>75.52636135508156</v>
      </c>
      <c r="K133" s="6"/>
      <c r="L133" s="103"/>
      <c r="M133" s="104"/>
      <c r="N133" s="120"/>
      <c r="O133" s="118"/>
      <c r="P133" s="25"/>
      <c r="Q133" s="6"/>
      <c r="R133" s="103">
        <f t="shared" si="14"/>
        <v>79700</v>
      </c>
      <c r="S133" s="103">
        <f t="shared" si="15"/>
        <v>129500</v>
      </c>
      <c r="T133" s="106">
        <f t="shared" si="16"/>
        <v>60194.51</v>
      </c>
      <c r="U133" s="106">
        <f t="shared" si="17"/>
        <v>0</v>
      </c>
      <c r="V133" s="26">
        <f t="shared" si="18"/>
        <v>75.52636135508156</v>
      </c>
    </row>
    <row r="134" spans="1:22" s="17" customFormat="1" ht="51.75" customHeight="1">
      <c r="A134" s="17">
        <v>5</v>
      </c>
      <c r="B134" s="17">
        <v>26</v>
      </c>
      <c r="C134" s="23" t="s">
        <v>137</v>
      </c>
      <c r="D134" s="23" t="s">
        <v>48</v>
      </c>
      <c r="E134" s="23" t="s">
        <v>41</v>
      </c>
      <c r="F134" s="24" t="s">
        <v>424</v>
      </c>
      <c r="G134" s="103">
        <v>287300</v>
      </c>
      <c r="H134" s="103">
        <v>216000</v>
      </c>
      <c r="I134" s="103">
        <v>287300</v>
      </c>
      <c r="J134" s="25">
        <f t="shared" si="13"/>
        <v>100</v>
      </c>
      <c r="K134" s="1"/>
      <c r="L134" s="103"/>
      <c r="M134" s="103"/>
      <c r="N134" s="121"/>
      <c r="O134" s="117"/>
      <c r="P134" s="25"/>
      <c r="Q134" s="1"/>
      <c r="R134" s="103">
        <f t="shared" si="14"/>
        <v>287300</v>
      </c>
      <c r="S134" s="103">
        <f t="shared" si="15"/>
        <v>216000</v>
      </c>
      <c r="T134" s="106">
        <f t="shared" si="16"/>
        <v>287300</v>
      </c>
      <c r="U134" s="106">
        <f t="shared" si="17"/>
        <v>0</v>
      </c>
      <c r="V134" s="26">
        <f t="shared" si="18"/>
        <v>100</v>
      </c>
    </row>
    <row r="135" spans="1:22" s="17" customFormat="1" ht="36.75" customHeight="1">
      <c r="A135" s="17">
        <v>7</v>
      </c>
      <c r="B135" s="17">
        <v>28</v>
      </c>
      <c r="C135" s="23" t="s">
        <v>138</v>
      </c>
      <c r="D135" s="23" t="s">
        <v>49</v>
      </c>
      <c r="E135" s="23" t="s">
        <v>45</v>
      </c>
      <c r="F135" s="40" t="s">
        <v>425</v>
      </c>
      <c r="G135" s="103">
        <v>32800</v>
      </c>
      <c r="H135" s="103">
        <v>32800</v>
      </c>
      <c r="I135" s="103">
        <v>29408</v>
      </c>
      <c r="J135" s="25">
        <f t="shared" si="13"/>
        <v>89.65853658536585</v>
      </c>
      <c r="K135" s="1"/>
      <c r="L135" s="103"/>
      <c r="M135" s="103"/>
      <c r="N135" s="121"/>
      <c r="O135" s="117"/>
      <c r="P135" s="25"/>
      <c r="Q135" s="1"/>
      <c r="R135" s="103">
        <f t="shared" si="14"/>
        <v>32800</v>
      </c>
      <c r="S135" s="103">
        <f t="shared" si="15"/>
        <v>32800</v>
      </c>
      <c r="T135" s="106">
        <f t="shared" si="16"/>
        <v>29408</v>
      </c>
      <c r="U135" s="106">
        <f t="shared" si="17"/>
        <v>0</v>
      </c>
      <c r="V135" s="26">
        <f t="shared" si="18"/>
        <v>89.65853658536585</v>
      </c>
    </row>
    <row r="136" spans="3:22" s="17" customFormat="1" ht="53.25" customHeight="1">
      <c r="C136" s="23" t="s">
        <v>139</v>
      </c>
      <c r="D136" s="23" t="s">
        <v>50</v>
      </c>
      <c r="E136" s="23" t="s">
        <v>35</v>
      </c>
      <c r="F136" s="40" t="s">
        <v>344</v>
      </c>
      <c r="G136" s="107">
        <f>SUM(G137:G139)</f>
        <v>6855490</v>
      </c>
      <c r="H136" s="107">
        <f>SUM(H137:H139)</f>
        <v>5005605</v>
      </c>
      <c r="I136" s="107">
        <f>SUM(I137:I139)</f>
        <v>6753667.84</v>
      </c>
      <c r="J136" s="25">
        <f t="shared" si="13"/>
        <v>98.51473548936691</v>
      </c>
      <c r="K136" s="5">
        <f>SUM(K137:K139)</f>
        <v>0</v>
      </c>
      <c r="L136" s="103">
        <f>SUM(L137:L139)</f>
        <v>1092590.14</v>
      </c>
      <c r="M136" s="103">
        <f>SUM(M137:M139)</f>
        <v>1078504.14</v>
      </c>
      <c r="N136" s="103">
        <f>SUM(N137:N139)</f>
        <v>1025447.48</v>
      </c>
      <c r="O136" s="119">
        <f>SUM(O137:O139)</f>
        <v>849000</v>
      </c>
      <c r="P136" s="25">
        <f>N136/L136*100</f>
        <v>93.85472579864212</v>
      </c>
      <c r="Q136" s="5">
        <f>SUM(Q137:Q139)</f>
        <v>0</v>
      </c>
      <c r="R136" s="103">
        <f t="shared" si="14"/>
        <v>7948080.14</v>
      </c>
      <c r="S136" s="103">
        <f t="shared" si="15"/>
        <v>6084109.14</v>
      </c>
      <c r="T136" s="106">
        <f t="shared" si="16"/>
        <v>7779115.32</v>
      </c>
      <c r="U136" s="106">
        <f t="shared" si="17"/>
        <v>849000</v>
      </c>
      <c r="V136" s="26">
        <f t="shared" si="18"/>
        <v>97.87414297511098</v>
      </c>
    </row>
    <row r="137" spans="3:22" s="20" customFormat="1" ht="59.25" customHeight="1">
      <c r="C137" s="27"/>
      <c r="D137" s="27"/>
      <c r="E137" s="27"/>
      <c r="F137" s="28" t="s">
        <v>88</v>
      </c>
      <c r="G137" s="103">
        <v>6799850</v>
      </c>
      <c r="H137" s="103">
        <v>4979465</v>
      </c>
      <c r="I137" s="109">
        <v>6698133.13</v>
      </c>
      <c r="J137" s="25">
        <f t="shared" si="13"/>
        <v>98.50413067935322</v>
      </c>
      <c r="K137" s="6"/>
      <c r="L137" s="103">
        <f>849000+169550+74040.14</f>
        <v>1092590.14</v>
      </c>
      <c r="M137" s="103">
        <v>1078504.14</v>
      </c>
      <c r="N137" s="103">
        <v>1025447.48</v>
      </c>
      <c r="O137" s="117">
        <v>849000</v>
      </c>
      <c r="P137" s="25">
        <f>N137/L137*100</f>
        <v>93.85472579864212</v>
      </c>
      <c r="Q137" s="6"/>
      <c r="R137" s="103">
        <f t="shared" si="14"/>
        <v>7892440.14</v>
      </c>
      <c r="S137" s="103">
        <f t="shared" si="15"/>
        <v>6057969.14</v>
      </c>
      <c r="T137" s="106">
        <f t="shared" si="16"/>
        <v>7723580.609999999</v>
      </c>
      <c r="U137" s="106">
        <f t="shared" si="17"/>
        <v>849000</v>
      </c>
      <c r="V137" s="26">
        <f t="shared" si="18"/>
        <v>97.86049020322376</v>
      </c>
    </row>
    <row r="138" spans="3:22" s="20" customFormat="1" ht="54.75" customHeight="1">
      <c r="C138" s="27"/>
      <c r="D138" s="27"/>
      <c r="E138" s="27"/>
      <c r="F138" s="28" t="s">
        <v>306</v>
      </c>
      <c r="G138" s="103">
        <v>55640</v>
      </c>
      <c r="H138" s="103">
        <v>26140</v>
      </c>
      <c r="I138" s="109">
        <v>55534.71</v>
      </c>
      <c r="J138" s="25">
        <f t="shared" si="13"/>
        <v>99.81076563623293</v>
      </c>
      <c r="K138" s="6"/>
      <c r="L138" s="103"/>
      <c r="M138" s="103"/>
      <c r="N138" s="103"/>
      <c r="O138" s="117"/>
      <c r="P138" s="25"/>
      <c r="Q138" s="6"/>
      <c r="R138" s="103">
        <f t="shared" si="14"/>
        <v>55640</v>
      </c>
      <c r="S138" s="103">
        <f t="shared" si="15"/>
        <v>26140</v>
      </c>
      <c r="T138" s="106">
        <f t="shared" si="16"/>
        <v>55534.71</v>
      </c>
      <c r="U138" s="106">
        <f t="shared" si="17"/>
        <v>0</v>
      </c>
      <c r="V138" s="26">
        <f t="shared" si="18"/>
        <v>99.81076563623293</v>
      </c>
    </row>
    <row r="139" spans="3:22" s="20" customFormat="1" ht="42" customHeight="1" hidden="1">
      <c r="C139" s="27"/>
      <c r="D139" s="27"/>
      <c r="E139" s="27"/>
      <c r="F139" s="28" t="s">
        <v>340</v>
      </c>
      <c r="G139" s="103"/>
      <c r="H139" s="103"/>
      <c r="I139" s="152"/>
      <c r="J139" s="25" t="e">
        <f t="shared" si="13"/>
        <v>#DIV/0!</v>
      </c>
      <c r="K139" s="6"/>
      <c r="L139" s="103">
        <f>N139+Q139</f>
        <v>0</v>
      </c>
      <c r="M139" s="104"/>
      <c r="N139" s="104"/>
      <c r="O139" s="118"/>
      <c r="P139" s="25" t="e">
        <f>N139/L139*100</f>
        <v>#DIV/0!</v>
      </c>
      <c r="Q139" s="6"/>
      <c r="R139" s="103">
        <f t="shared" si="14"/>
        <v>0</v>
      </c>
      <c r="S139" s="103">
        <f t="shared" si="15"/>
        <v>0</v>
      </c>
      <c r="T139" s="106">
        <f t="shared" si="16"/>
        <v>0</v>
      </c>
      <c r="U139" s="106">
        <f t="shared" si="17"/>
        <v>0</v>
      </c>
      <c r="V139" s="26" t="e">
        <f t="shared" si="18"/>
        <v>#DIV/0!</v>
      </c>
    </row>
    <row r="140" spans="3:22" s="17" customFormat="1" ht="45" customHeight="1">
      <c r="C140" s="23" t="s">
        <v>275</v>
      </c>
      <c r="D140" s="23" t="s">
        <v>141</v>
      </c>
      <c r="E140" s="23" t="s">
        <v>42</v>
      </c>
      <c r="F140" s="40" t="s">
        <v>140</v>
      </c>
      <c r="G140" s="107">
        <f>SUM(G141:G143)</f>
        <v>1593487</v>
      </c>
      <c r="H140" s="107">
        <f>SUM(H141:H143)</f>
        <v>1236817</v>
      </c>
      <c r="I140" s="107">
        <f>SUM(I141:I143)</f>
        <v>1593087.27</v>
      </c>
      <c r="J140" s="25">
        <f t="shared" si="13"/>
        <v>99.97491476240471</v>
      </c>
      <c r="K140" s="5">
        <f aca="true" t="shared" si="24" ref="K140:Q140">SUM(K141:K142)</f>
        <v>0</v>
      </c>
      <c r="L140" s="107">
        <f t="shared" si="24"/>
        <v>0</v>
      </c>
      <c r="M140" s="107">
        <f t="shared" si="24"/>
        <v>0</v>
      </c>
      <c r="N140" s="107">
        <f t="shared" si="24"/>
        <v>0</v>
      </c>
      <c r="O140" s="119">
        <f t="shared" si="24"/>
        <v>0</v>
      </c>
      <c r="P140" s="25"/>
      <c r="Q140" s="5">
        <f t="shared" si="24"/>
        <v>0</v>
      </c>
      <c r="R140" s="103">
        <f t="shared" si="14"/>
        <v>1593487</v>
      </c>
      <c r="S140" s="103">
        <f t="shared" si="15"/>
        <v>1236817</v>
      </c>
      <c r="T140" s="106">
        <f t="shared" si="16"/>
        <v>1593087.27</v>
      </c>
      <c r="U140" s="106">
        <f t="shared" si="17"/>
        <v>0</v>
      </c>
      <c r="V140" s="26">
        <f t="shared" si="18"/>
        <v>99.97491476240471</v>
      </c>
    </row>
    <row r="141" spans="3:22" s="20" customFormat="1" ht="26.25" customHeight="1">
      <c r="C141" s="27"/>
      <c r="D141" s="27"/>
      <c r="E141" s="27"/>
      <c r="F141" s="28" t="s">
        <v>142</v>
      </c>
      <c r="G141" s="103">
        <v>1509087</v>
      </c>
      <c r="H141" s="103">
        <v>1154417</v>
      </c>
      <c r="I141" s="103">
        <v>1508687.27</v>
      </c>
      <c r="J141" s="25">
        <f t="shared" si="13"/>
        <v>99.97351179885587</v>
      </c>
      <c r="K141" s="6"/>
      <c r="L141" s="103"/>
      <c r="M141" s="104"/>
      <c r="N141" s="104"/>
      <c r="O141" s="118"/>
      <c r="P141" s="25"/>
      <c r="Q141" s="6"/>
      <c r="R141" s="103">
        <f t="shared" si="14"/>
        <v>1509087</v>
      </c>
      <c r="S141" s="103">
        <f t="shared" si="15"/>
        <v>1154417</v>
      </c>
      <c r="T141" s="106">
        <f t="shared" si="16"/>
        <v>1508687.27</v>
      </c>
      <c r="U141" s="106">
        <f t="shared" si="17"/>
        <v>0</v>
      </c>
      <c r="V141" s="26">
        <f t="shared" si="18"/>
        <v>99.97351179885587</v>
      </c>
    </row>
    <row r="142" spans="3:22" s="20" customFormat="1" ht="45" customHeight="1">
      <c r="C142" s="27"/>
      <c r="D142" s="27"/>
      <c r="E142" s="27"/>
      <c r="F142" s="28" t="s">
        <v>143</v>
      </c>
      <c r="G142" s="103">
        <v>74400</v>
      </c>
      <c r="H142" s="103">
        <v>72400</v>
      </c>
      <c r="I142" s="103">
        <v>74400</v>
      </c>
      <c r="J142" s="25">
        <f t="shared" si="13"/>
        <v>100</v>
      </c>
      <c r="K142" s="6"/>
      <c r="L142" s="103"/>
      <c r="M142" s="104"/>
      <c r="N142" s="104"/>
      <c r="O142" s="118"/>
      <c r="P142" s="25"/>
      <c r="Q142" s="6"/>
      <c r="R142" s="103">
        <f t="shared" si="14"/>
        <v>74400</v>
      </c>
      <c r="S142" s="103">
        <f t="shared" si="15"/>
        <v>72400</v>
      </c>
      <c r="T142" s="106">
        <f t="shared" si="16"/>
        <v>74400</v>
      </c>
      <c r="U142" s="106">
        <f t="shared" si="17"/>
        <v>0</v>
      </c>
      <c r="V142" s="26">
        <f t="shared" si="18"/>
        <v>100</v>
      </c>
    </row>
    <row r="143" spans="3:22" s="20" customFormat="1" ht="56.25" customHeight="1">
      <c r="C143" s="27"/>
      <c r="D143" s="27"/>
      <c r="E143" s="27"/>
      <c r="F143" s="28" t="s">
        <v>306</v>
      </c>
      <c r="G143" s="103">
        <v>10000</v>
      </c>
      <c r="H143" s="103">
        <v>10000</v>
      </c>
      <c r="I143" s="103">
        <v>10000</v>
      </c>
      <c r="J143" s="25">
        <f t="shared" si="13"/>
        <v>100</v>
      </c>
      <c r="K143" s="6"/>
      <c r="L143" s="103"/>
      <c r="M143" s="120"/>
      <c r="N143" s="120"/>
      <c r="O143" s="118"/>
      <c r="P143" s="25"/>
      <c r="Q143" s="6"/>
      <c r="R143" s="103">
        <f t="shared" si="14"/>
        <v>10000</v>
      </c>
      <c r="S143" s="103">
        <f t="shared" si="15"/>
        <v>10000</v>
      </c>
      <c r="T143" s="106">
        <f t="shared" si="16"/>
        <v>10000</v>
      </c>
      <c r="U143" s="106">
        <f t="shared" si="17"/>
        <v>0</v>
      </c>
      <c r="V143" s="26">
        <f t="shared" si="18"/>
        <v>100</v>
      </c>
    </row>
    <row r="144" spans="1:22" s="17" customFormat="1" ht="78" customHeight="1">
      <c r="A144" s="17">
        <v>9</v>
      </c>
      <c r="B144" s="17">
        <v>30</v>
      </c>
      <c r="C144" s="23" t="s">
        <v>145</v>
      </c>
      <c r="D144" s="23" t="s">
        <v>146</v>
      </c>
      <c r="E144" s="23" t="s">
        <v>33</v>
      </c>
      <c r="F144" s="40" t="s">
        <v>238</v>
      </c>
      <c r="G144" s="107">
        <f>G145</f>
        <v>185000</v>
      </c>
      <c r="H144" s="107">
        <f>H145</f>
        <v>150200</v>
      </c>
      <c r="I144" s="107">
        <f>I145</f>
        <v>183795.67</v>
      </c>
      <c r="J144" s="25">
        <f t="shared" si="13"/>
        <v>99.34901081081082</v>
      </c>
      <c r="K144" s="5">
        <f aca="true" t="shared" si="25" ref="K144:Q144">K145</f>
        <v>0</v>
      </c>
      <c r="L144" s="107">
        <f t="shared" si="25"/>
        <v>0</v>
      </c>
      <c r="M144" s="107">
        <f t="shared" si="25"/>
        <v>0</v>
      </c>
      <c r="N144" s="107">
        <f t="shared" si="25"/>
        <v>0</v>
      </c>
      <c r="O144" s="119">
        <f t="shared" si="25"/>
        <v>0</v>
      </c>
      <c r="P144" s="25"/>
      <c r="Q144" s="5">
        <f t="shared" si="25"/>
        <v>0</v>
      </c>
      <c r="R144" s="103">
        <f t="shared" si="14"/>
        <v>185000</v>
      </c>
      <c r="S144" s="103">
        <f t="shared" si="15"/>
        <v>150200</v>
      </c>
      <c r="T144" s="106">
        <f t="shared" si="16"/>
        <v>183795.67</v>
      </c>
      <c r="U144" s="106">
        <f t="shared" si="17"/>
        <v>0</v>
      </c>
      <c r="V144" s="26">
        <f t="shared" si="18"/>
        <v>99.34901081081082</v>
      </c>
    </row>
    <row r="145" spans="3:22" s="20" customFormat="1" ht="30.75" customHeight="1">
      <c r="C145" s="27"/>
      <c r="D145" s="27"/>
      <c r="E145" s="27"/>
      <c r="F145" s="31" t="s">
        <v>288</v>
      </c>
      <c r="G145" s="103">
        <v>185000</v>
      </c>
      <c r="H145" s="103">
        <v>150200</v>
      </c>
      <c r="I145" s="103">
        <v>183795.67</v>
      </c>
      <c r="J145" s="25">
        <f t="shared" si="13"/>
        <v>99.34901081081082</v>
      </c>
      <c r="K145" s="6"/>
      <c r="L145" s="104"/>
      <c r="M145" s="104"/>
      <c r="N145" s="104"/>
      <c r="O145" s="118"/>
      <c r="P145" s="25"/>
      <c r="Q145" s="6"/>
      <c r="R145" s="103">
        <f t="shared" si="14"/>
        <v>185000</v>
      </c>
      <c r="S145" s="103">
        <f t="shared" si="15"/>
        <v>150200</v>
      </c>
      <c r="T145" s="106">
        <f t="shared" si="16"/>
        <v>183795.67</v>
      </c>
      <c r="U145" s="106">
        <f t="shared" si="17"/>
        <v>0</v>
      </c>
      <c r="V145" s="26">
        <f t="shared" si="18"/>
        <v>99.34901081081082</v>
      </c>
    </row>
    <row r="146" spans="3:22" s="17" customFormat="1" ht="60.75" customHeight="1">
      <c r="C146" s="23" t="s">
        <v>241</v>
      </c>
      <c r="D146" s="23" t="s">
        <v>242</v>
      </c>
      <c r="E146" s="23" t="s">
        <v>33</v>
      </c>
      <c r="F146" s="40" t="s">
        <v>426</v>
      </c>
      <c r="G146" s="103">
        <v>12000</v>
      </c>
      <c r="H146" s="103">
        <v>12000</v>
      </c>
      <c r="I146" s="103">
        <v>11825.51</v>
      </c>
      <c r="J146" s="25">
        <f t="shared" si="13"/>
        <v>98.54591666666667</v>
      </c>
      <c r="K146" s="1"/>
      <c r="L146" s="103"/>
      <c r="M146" s="103"/>
      <c r="N146" s="121"/>
      <c r="O146" s="117"/>
      <c r="P146" s="25"/>
      <c r="Q146" s="1"/>
      <c r="R146" s="103">
        <f t="shared" si="14"/>
        <v>12000</v>
      </c>
      <c r="S146" s="103">
        <f t="shared" si="15"/>
        <v>12000</v>
      </c>
      <c r="T146" s="106">
        <f t="shared" si="16"/>
        <v>11825.51</v>
      </c>
      <c r="U146" s="106">
        <f t="shared" si="17"/>
        <v>0</v>
      </c>
      <c r="V146" s="26">
        <f t="shared" si="18"/>
        <v>98.54591666666667</v>
      </c>
    </row>
    <row r="147" spans="3:22" s="17" customFormat="1" ht="49.5" customHeight="1" hidden="1">
      <c r="C147" s="23" t="s">
        <v>239</v>
      </c>
      <c r="D147" s="23" t="s">
        <v>240</v>
      </c>
      <c r="E147" s="23" t="s">
        <v>33</v>
      </c>
      <c r="F147" s="40" t="s">
        <v>284</v>
      </c>
      <c r="G147" s="103">
        <f>H147+K147</f>
        <v>0</v>
      </c>
      <c r="H147" s="103">
        <v>0</v>
      </c>
      <c r="I147" s="103"/>
      <c r="J147" s="25" t="e">
        <f t="shared" si="13"/>
        <v>#DIV/0!</v>
      </c>
      <c r="K147" s="1"/>
      <c r="L147" s="103">
        <f>N147+Q147</f>
        <v>0</v>
      </c>
      <c r="M147" s="103"/>
      <c r="N147" s="121"/>
      <c r="O147" s="117"/>
      <c r="P147" s="25" t="e">
        <f>N147/L147*100</f>
        <v>#DIV/0!</v>
      </c>
      <c r="Q147" s="1"/>
      <c r="R147" s="103">
        <f t="shared" si="14"/>
        <v>0</v>
      </c>
      <c r="S147" s="103">
        <f t="shared" si="15"/>
        <v>0</v>
      </c>
      <c r="T147" s="106">
        <f t="shared" si="16"/>
        <v>0</v>
      </c>
      <c r="U147" s="106">
        <f t="shared" si="17"/>
        <v>0</v>
      </c>
      <c r="V147" s="26" t="e">
        <f t="shared" si="18"/>
        <v>#DIV/0!</v>
      </c>
    </row>
    <row r="148" spans="1:22" s="17" customFormat="1" ht="66" customHeight="1">
      <c r="A148" s="17">
        <v>10</v>
      </c>
      <c r="B148" s="17">
        <v>31</v>
      </c>
      <c r="C148" s="23" t="s">
        <v>144</v>
      </c>
      <c r="D148" s="23" t="s">
        <v>51</v>
      </c>
      <c r="E148" s="23" t="s">
        <v>43</v>
      </c>
      <c r="F148" s="24" t="s">
        <v>243</v>
      </c>
      <c r="G148" s="107">
        <f>G149+G150</f>
        <v>154700</v>
      </c>
      <c r="H148" s="107">
        <f>H149+H150</f>
        <v>119860</v>
      </c>
      <c r="I148" s="107">
        <f aca="true" t="shared" si="26" ref="I148:Q148">I149+I150</f>
        <v>144905</v>
      </c>
      <c r="J148" s="25">
        <f t="shared" si="13"/>
        <v>93.66839043309632</v>
      </c>
      <c r="K148" s="5">
        <f t="shared" si="26"/>
        <v>0</v>
      </c>
      <c r="L148" s="107">
        <f t="shared" si="26"/>
        <v>0</v>
      </c>
      <c r="M148" s="107">
        <f t="shared" si="26"/>
        <v>0</v>
      </c>
      <c r="N148" s="107">
        <f t="shared" si="26"/>
        <v>0</v>
      </c>
      <c r="O148" s="119">
        <f t="shared" si="26"/>
        <v>0</v>
      </c>
      <c r="P148" s="25"/>
      <c r="Q148" s="5">
        <f t="shared" si="26"/>
        <v>0</v>
      </c>
      <c r="R148" s="103">
        <f t="shared" si="14"/>
        <v>154700</v>
      </c>
      <c r="S148" s="103">
        <f t="shared" si="15"/>
        <v>119860</v>
      </c>
      <c r="T148" s="106">
        <f t="shared" si="16"/>
        <v>144905</v>
      </c>
      <c r="U148" s="106">
        <f t="shared" si="17"/>
        <v>0</v>
      </c>
      <c r="V148" s="26">
        <f t="shared" si="18"/>
        <v>93.66839043309632</v>
      </c>
    </row>
    <row r="149" spans="3:22" s="20" customFormat="1" ht="26.25" customHeight="1">
      <c r="C149" s="27"/>
      <c r="D149" s="27"/>
      <c r="E149" s="27"/>
      <c r="F149" s="31" t="s">
        <v>288</v>
      </c>
      <c r="G149" s="103">
        <v>105000</v>
      </c>
      <c r="H149" s="103">
        <v>85550</v>
      </c>
      <c r="I149" s="103">
        <v>100904.62</v>
      </c>
      <c r="J149" s="25">
        <f t="shared" si="13"/>
        <v>96.09963809523809</v>
      </c>
      <c r="K149" s="6"/>
      <c r="L149" s="103"/>
      <c r="M149" s="104"/>
      <c r="N149" s="104"/>
      <c r="O149" s="118"/>
      <c r="P149" s="25"/>
      <c r="Q149" s="6"/>
      <c r="R149" s="103">
        <f t="shared" si="14"/>
        <v>105000</v>
      </c>
      <c r="S149" s="103">
        <f t="shared" si="15"/>
        <v>85550</v>
      </c>
      <c r="T149" s="106">
        <f t="shared" si="16"/>
        <v>100904.62</v>
      </c>
      <c r="U149" s="106">
        <f t="shared" si="17"/>
        <v>0</v>
      </c>
      <c r="V149" s="26">
        <f t="shared" si="18"/>
        <v>96.09963809523809</v>
      </c>
    </row>
    <row r="150" spans="3:22" s="20" customFormat="1" ht="36.75" customHeight="1">
      <c r="C150" s="27"/>
      <c r="D150" s="27"/>
      <c r="E150" s="27"/>
      <c r="F150" s="31" t="s">
        <v>398</v>
      </c>
      <c r="G150" s="103">
        <v>49700</v>
      </c>
      <c r="H150" s="103">
        <v>34310</v>
      </c>
      <c r="I150" s="103">
        <v>44000.38</v>
      </c>
      <c r="J150" s="25">
        <f t="shared" si="13"/>
        <v>88.53195171026157</v>
      </c>
      <c r="K150" s="6"/>
      <c r="L150" s="103"/>
      <c r="M150" s="104"/>
      <c r="N150" s="104"/>
      <c r="O150" s="118"/>
      <c r="P150" s="25"/>
      <c r="Q150" s="6"/>
      <c r="R150" s="103">
        <f t="shared" si="14"/>
        <v>49700</v>
      </c>
      <c r="S150" s="103">
        <f t="shared" si="15"/>
        <v>34310</v>
      </c>
      <c r="T150" s="106">
        <f t="shared" si="16"/>
        <v>44000.38</v>
      </c>
      <c r="U150" s="106">
        <f t="shared" si="17"/>
        <v>0</v>
      </c>
      <c r="V150" s="26">
        <f t="shared" si="18"/>
        <v>88.53195171026157</v>
      </c>
    </row>
    <row r="151" spans="3:22" s="17" customFormat="1" ht="33" customHeight="1">
      <c r="C151" s="23" t="s">
        <v>245</v>
      </c>
      <c r="D151" s="23" t="s">
        <v>244</v>
      </c>
      <c r="E151" s="23" t="s">
        <v>45</v>
      </c>
      <c r="F151" s="24" t="s">
        <v>147</v>
      </c>
      <c r="G151" s="107">
        <f>SUM(G152:G156)</f>
        <v>1433201</v>
      </c>
      <c r="H151" s="107">
        <f>SUM(H152:H156)</f>
        <v>957700</v>
      </c>
      <c r="I151" s="107">
        <f aca="true" t="shared" si="27" ref="I151:Q151">SUM(I152:I156)</f>
        <v>1323837.03</v>
      </c>
      <c r="J151" s="25">
        <f t="shared" si="13"/>
        <v>92.36925106806373</v>
      </c>
      <c r="K151" s="5">
        <f t="shared" si="27"/>
        <v>0</v>
      </c>
      <c r="L151" s="107">
        <f t="shared" si="27"/>
        <v>0</v>
      </c>
      <c r="M151" s="107">
        <f t="shared" si="27"/>
        <v>0</v>
      </c>
      <c r="N151" s="107">
        <f t="shared" si="27"/>
        <v>0</v>
      </c>
      <c r="O151" s="119">
        <f t="shared" si="27"/>
        <v>0</v>
      </c>
      <c r="P151" s="25"/>
      <c r="Q151" s="5">
        <f t="shared" si="27"/>
        <v>0</v>
      </c>
      <c r="R151" s="103">
        <f t="shared" si="14"/>
        <v>1433201</v>
      </c>
      <c r="S151" s="103">
        <f t="shared" si="15"/>
        <v>957700</v>
      </c>
      <c r="T151" s="106">
        <f t="shared" si="16"/>
        <v>1323837.03</v>
      </c>
      <c r="U151" s="106">
        <f t="shared" si="17"/>
        <v>0</v>
      </c>
      <c r="V151" s="26">
        <f t="shared" si="18"/>
        <v>92.36925106806373</v>
      </c>
    </row>
    <row r="152" spans="3:22" s="20" customFormat="1" ht="29.25" customHeight="1">
      <c r="C152" s="27"/>
      <c r="D152" s="27"/>
      <c r="E152" s="27"/>
      <c r="F152" s="31" t="s">
        <v>427</v>
      </c>
      <c r="G152" s="103">
        <v>407800</v>
      </c>
      <c r="H152" s="110">
        <v>337800</v>
      </c>
      <c r="I152" s="103">
        <v>355800</v>
      </c>
      <c r="J152" s="25">
        <f t="shared" si="13"/>
        <v>87.2486512996567</v>
      </c>
      <c r="K152" s="6"/>
      <c r="L152" s="103"/>
      <c r="M152" s="104"/>
      <c r="N152" s="104"/>
      <c r="O152" s="118"/>
      <c r="P152" s="25"/>
      <c r="Q152" s="6"/>
      <c r="R152" s="103">
        <f t="shared" si="14"/>
        <v>407800</v>
      </c>
      <c r="S152" s="103">
        <f t="shared" si="15"/>
        <v>337800</v>
      </c>
      <c r="T152" s="106">
        <f t="shared" si="16"/>
        <v>355800</v>
      </c>
      <c r="U152" s="106">
        <f t="shared" si="17"/>
        <v>0</v>
      </c>
      <c r="V152" s="26">
        <f t="shared" si="18"/>
        <v>87.2486512996567</v>
      </c>
    </row>
    <row r="153" spans="3:22" s="20" customFormat="1" ht="45" customHeight="1" hidden="1">
      <c r="C153" s="27"/>
      <c r="D153" s="27"/>
      <c r="E153" s="27"/>
      <c r="F153" s="31" t="s">
        <v>341</v>
      </c>
      <c r="G153" s="103">
        <f>H153+K153</f>
        <v>0</v>
      </c>
      <c r="H153" s="111">
        <v>0</v>
      </c>
      <c r="I153" s="103">
        <v>0</v>
      </c>
      <c r="J153" s="25" t="e">
        <f aca="true" t="shared" si="28" ref="J153:J219">I153/G153*100</f>
        <v>#DIV/0!</v>
      </c>
      <c r="K153" s="6"/>
      <c r="L153" s="103">
        <f>N153+Q153</f>
        <v>0</v>
      </c>
      <c r="M153" s="104"/>
      <c r="N153" s="104"/>
      <c r="O153" s="118"/>
      <c r="P153" s="25" t="e">
        <f>N153/L153*100</f>
        <v>#DIV/0!</v>
      </c>
      <c r="Q153" s="6"/>
      <c r="R153" s="103">
        <f aca="true" t="shared" si="29" ref="R153:R219">G153+L153</f>
        <v>0</v>
      </c>
      <c r="S153" s="103">
        <f aca="true" t="shared" si="30" ref="S153:S219">H153+M153</f>
        <v>0</v>
      </c>
      <c r="T153" s="106">
        <f aca="true" t="shared" si="31" ref="T153:T219">I153+N153</f>
        <v>0</v>
      </c>
      <c r="U153" s="106">
        <f aca="true" t="shared" si="32" ref="U153:U218">O153</f>
        <v>0</v>
      </c>
      <c r="V153" s="26" t="e">
        <f aca="true" t="shared" si="33" ref="V153:V219">T153/R153*100</f>
        <v>#DIV/0!</v>
      </c>
    </row>
    <row r="154" spans="3:22" s="20" customFormat="1" ht="110.25" customHeight="1" hidden="1">
      <c r="C154" s="27"/>
      <c r="D154" s="27"/>
      <c r="E154" s="27"/>
      <c r="F154" s="31" t="s">
        <v>27</v>
      </c>
      <c r="G154" s="103"/>
      <c r="H154" s="111">
        <v>0</v>
      </c>
      <c r="I154" s="103">
        <v>0</v>
      </c>
      <c r="J154" s="25" t="e">
        <f t="shared" si="28"/>
        <v>#DIV/0!</v>
      </c>
      <c r="K154" s="6"/>
      <c r="L154" s="103">
        <f>N154+Q154</f>
        <v>0</v>
      </c>
      <c r="M154" s="104"/>
      <c r="N154" s="104"/>
      <c r="O154" s="118"/>
      <c r="P154" s="25" t="e">
        <f>N154/L154*100</f>
        <v>#DIV/0!</v>
      </c>
      <c r="Q154" s="6"/>
      <c r="R154" s="103">
        <f t="shared" si="29"/>
        <v>0</v>
      </c>
      <c r="S154" s="103">
        <f t="shared" si="30"/>
        <v>0</v>
      </c>
      <c r="T154" s="106">
        <f t="shared" si="31"/>
        <v>0</v>
      </c>
      <c r="U154" s="106">
        <f t="shared" si="32"/>
        <v>0</v>
      </c>
      <c r="V154" s="26" t="e">
        <f t="shared" si="33"/>
        <v>#DIV/0!</v>
      </c>
    </row>
    <row r="155" spans="3:22" s="20" customFormat="1" ht="29.25" customHeight="1">
      <c r="C155" s="27"/>
      <c r="D155" s="27"/>
      <c r="E155" s="27"/>
      <c r="F155" s="31" t="s">
        <v>289</v>
      </c>
      <c r="G155" s="103">
        <v>516172</v>
      </c>
      <c r="H155" s="103">
        <v>477900</v>
      </c>
      <c r="I155" s="103">
        <v>474688.03</v>
      </c>
      <c r="J155" s="25">
        <f t="shared" si="28"/>
        <v>91.96314988027248</v>
      </c>
      <c r="K155" s="6"/>
      <c r="L155" s="103"/>
      <c r="M155" s="104"/>
      <c r="N155" s="104"/>
      <c r="O155" s="118"/>
      <c r="P155" s="25"/>
      <c r="Q155" s="6"/>
      <c r="R155" s="103">
        <f t="shared" si="29"/>
        <v>516172</v>
      </c>
      <c r="S155" s="103">
        <f t="shared" si="30"/>
        <v>477900</v>
      </c>
      <c r="T155" s="106">
        <f t="shared" si="31"/>
        <v>474688.03</v>
      </c>
      <c r="U155" s="106">
        <f t="shared" si="32"/>
        <v>0</v>
      </c>
      <c r="V155" s="26">
        <f t="shared" si="33"/>
        <v>91.96314988027248</v>
      </c>
    </row>
    <row r="156" spans="3:22" s="20" customFormat="1" ht="42" customHeight="1">
      <c r="C156" s="27"/>
      <c r="D156" s="27"/>
      <c r="E156" s="27"/>
      <c r="F156" s="31" t="s">
        <v>68</v>
      </c>
      <c r="G156" s="103">
        <v>509229</v>
      </c>
      <c r="H156" s="103">
        <v>142000</v>
      </c>
      <c r="I156" s="103">
        <v>493349</v>
      </c>
      <c r="J156" s="25">
        <f t="shared" si="28"/>
        <v>96.8815601625202</v>
      </c>
      <c r="K156" s="6"/>
      <c r="L156" s="103"/>
      <c r="M156" s="104"/>
      <c r="N156" s="104"/>
      <c r="O156" s="118"/>
      <c r="P156" s="25"/>
      <c r="Q156" s="6"/>
      <c r="R156" s="103">
        <f t="shared" si="29"/>
        <v>509229</v>
      </c>
      <c r="S156" s="103">
        <f t="shared" si="30"/>
        <v>142000</v>
      </c>
      <c r="T156" s="106">
        <f t="shared" si="31"/>
        <v>493349</v>
      </c>
      <c r="U156" s="106">
        <f t="shared" si="32"/>
        <v>0</v>
      </c>
      <c r="V156" s="26">
        <f t="shared" si="33"/>
        <v>96.8815601625202</v>
      </c>
    </row>
    <row r="157" spans="3:22" s="17" customFormat="1" ht="41.25" customHeight="1">
      <c r="C157" s="23" t="s">
        <v>251</v>
      </c>
      <c r="D157" s="23" t="s">
        <v>272</v>
      </c>
      <c r="E157" s="23" t="s">
        <v>45</v>
      </c>
      <c r="F157" s="24" t="s">
        <v>252</v>
      </c>
      <c r="G157" s="107">
        <f>SUM(G158:G160)</f>
        <v>327042</v>
      </c>
      <c r="H157" s="107">
        <f>SUM(H158:H160)</f>
        <v>253535</v>
      </c>
      <c r="I157" s="107">
        <f>SUM(I158:I160)</f>
        <v>306216.43</v>
      </c>
      <c r="J157" s="25">
        <f t="shared" si="28"/>
        <v>93.63214204903345</v>
      </c>
      <c r="K157" s="5">
        <f aca="true" t="shared" si="34" ref="K157:Q157">SUM(K158:K159)</f>
        <v>0</v>
      </c>
      <c r="L157" s="107">
        <f t="shared" si="34"/>
        <v>0</v>
      </c>
      <c r="M157" s="107">
        <f t="shared" si="34"/>
        <v>0</v>
      </c>
      <c r="N157" s="107">
        <f t="shared" si="34"/>
        <v>0</v>
      </c>
      <c r="O157" s="119">
        <f t="shared" si="34"/>
        <v>0</v>
      </c>
      <c r="P157" s="25"/>
      <c r="Q157" s="5">
        <f t="shared" si="34"/>
        <v>0</v>
      </c>
      <c r="R157" s="103">
        <f t="shared" si="29"/>
        <v>327042</v>
      </c>
      <c r="S157" s="103">
        <f t="shared" si="30"/>
        <v>253535</v>
      </c>
      <c r="T157" s="106">
        <f t="shared" si="31"/>
        <v>306216.43</v>
      </c>
      <c r="U157" s="106">
        <f t="shared" si="32"/>
        <v>0</v>
      </c>
      <c r="V157" s="26">
        <f t="shared" si="33"/>
        <v>93.63214204903345</v>
      </c>
    </row>
    <row r="158" spans="3:22" s="20" customFormat="1" ht="144.75" customHeight="1">
      <c r="C158" s="27"/>
      <c r="D158" s="27"/>
      <c r="E158" s="27"/>
      <c r="F158" s="31" t="s">
        <v>396</v>
      </c>
      <c r="G158" s="103">
        <v>254042</v>
      </c>
      <c r="H158" s="103">
        <f>51002+40844+65575+45632</f>
        <v>203053</v>
      </c>
      <c r="I158" s="103">
        <f>58990.03+48392+81625.12+50435.8</f>
        <v>239442.95</v>
      </c>
      <c r="J158" s="25">
        <f t="shared" si="28"/>
        <v>94.25329276261407</v>
      </c>
      <c r="K158" s="6"/>
      <c r="L158" s="103"/>
      <c r="M158" s="104"/>
      <c r="N158" s="104"/>
      <c r="O158" s="118"/>
      <c r="P158" s="25"/>
      <c r="Q158" s="6"/>
      <c r="R158" s="103">
        <f t="shared" si="29"/>
        <v>254042</v>
      </c>
      <c r="S158" s="103">
        <f t="shared" si="30"/>
        <v>203053</v>
      </c>
      <c r="T158" s="106">
        <f t="shared" si="31"/>
        <v>239442.95</v>
      </c>
      <c r="U158" s="106">
        <f t="shared" si="32"/>
        <v>0</v>
      </c>
      <c r="V158" s="26">
        <f t="shared" si="33"/>
        <v>94.25329276261407</v>
      </c>
    </row>
    <row r="159" spans="3:22" s="20" customFormat="1" ht="53.25" customHeight="1">
      <c r="C159" s="27"/>
      <c r="D159" s="27"/>
      <c r="E159" s="27"/>
      <c r="F159" s="31" t="s">
        <v>397</v>
      </c>
      <c r="G159" s="103">
        <v>73000</v>
      </c>
      <c r="H159" s="103">
        <v>50482</v>
      </c>
      <c r="I159" s="103">
        <v>66773.48</v>
      </c>
      <c r="J159" s="25">
        <f t="shared" si="28"/>
        <v>91.4705205479452</v>
      </c>
      <c r="K159" s="6"/>
      <c r="L159" s="103"/>
      <c r="M159" s="104"/>
      <c r="N159" s="104"/>
      <c r="O159" s="118"/>
      <c r="P159" s="25"/>
      <c r="Q159" s="6"/>
      <c r="R159" s="103">
        <f t="shared" si="29"/>
        <v>73000</v>
      </c>
      <c r="S159" s="103">
        <f t="shared" si="30"/>
        <v>50482</v>
      </c>
      <c r="T159" s="106">
        <f t="shared" si="31"/>
        <v>66773.48</v>
      </c>
      <c r="U159" s="106">
        <f t="shared" si="32"/>
        <v>0</v>
      </c>
      <c r="V159" s="26">
        <f t="shared" si="33"/>
        <v>91.4705205479452</v>
      </c>
    </row>
    <row r="160" spans="3:22" s="20" customFormat="1" ht="30.75" hidden="1">
      <c r="C160" s="27"/>
      <c r="D160" s="27"/>
      <c r="E160" s="27"/>
      <c r="F160" s="28" t="s">
        <v>340</v>
      </c>
      <c r="G160" s="103"/>
      <c r="H160" s="103"/>
      <c r="I160" s="147"/>
      <c r="J160" s="25" t="e">
        <f t="shared" si="28"/>
        <v>#DIV/0!</v>
      </c>
      <c r="K160" s="6"/>
      <c r="L160" s="103"/>
      <c r="M160" s="104"/>
      <c r="N160" s="104"/>
      <c r="O160" s="118"/>
      <c r="P160" s="25" t="e">
        <f>N160/L160*100</f>
        <v>#DIV/0!</v>
      </c>
      <c r="Q160" s="6"/>
      <c r="R160" s="103">
        <f t="shared" si="29"/>
        <v>0</v>
      </c>
      <c r="S160" s="103">
        <f t="shared" si="30"/>
        <v>0</v>
      </c>
      <c r="T160" s="106">
        <f t="shared" si="31"/>
        <v>0</v>
      </c>
      <c r="U160" s="106">
        <f t="shared" si="32"/>
        <v>0</v>
      </c>
      <c r="V160" s="26" t="e">
        <f t="shared" si="33"/>
        <v>#DIV/0!</v>
      </c>
    </row>
    <row r="161" spans="3:22" s="17" customFormat="1" ht="38.25" customHeight="1">
      <c r="C161" s="23" t="s">
        <v>273</v>
      </c>
      <c r="D161" s="23" t="s">
        <v>246</v>
      </c>
      <c r="E161" s="23" t="s">
        <v>37</v>
      </c>
      <c r="F161" s="24" t="s">
        <v>274</v>
      </c>
      <c r="G161" s="107">
        <f>SUM(G162:G165)</f>
        <v>3459738</v>
      </c>
      <c r="H161" s="107">
        <f>SUM(H162:H165)</f>
        <v>2976255</v>
      </c>
      <c r="I161" s="107">
        <f>SUM(I162:I165)</f>
        <v>3307831.6100000003</v>
      </c>
      <c r="J161" s="25">
        <f t="shared" si="28"/>
        <v>95.60930943325768</v>
      </c>
      <c r="K161" s="5">
        <f aca="true" t="shared" si="35" ref="K161:Q161">SUM(K162:K165)</f>
        <v>0</v>
      </c>
      <c r="L161" s="107">
        <f t="shared" si="35"/>
        <v>6683.4</v>
      </c>
      <c r="M161" s="107">
        <f t="shared" si="35"/>
        <v>6683.4</v>
      </c>
      <c r="N161" s="107">
        <f t="shared" si="35"/>
        <v>6683.4</v>
      </c>
      <c r="O161" s="119">
        <f t="shared" si="35"/>
        <v>0</v>
      </c>
      <c r="P161" s="25">
        <f>N161/L161*100</f>
        <v>100</v>
      </c>
      <c r="Q161" s="5">
        <f t="shared" si="35"/>
        <v>0</v>
      </c>
      <c r="R161" s="103">
        <f t="shared" si="29"/>
        <v>3466421.4</v>
      </c>
      <c r="S161" s="103">
        <f t="shared" si="30"/>
        <v>2982938.4</v>
      </c>
      <c r="T161" s="106">
        <f t="shared" si="31"/>
        <v>3314515.0100000002</v>
      </c>
      <c r="U161" s="106">
        <f t="shared" si="32"/>
        <v>0</v>
      </c>
      <c r="V161" s="26">
        <f t="shared" si="33"/>
        <v>95.6177748614176</v>
      </c>
    </row>
    <row r="162" spans="3:22" s="20" customFormat="1" ht="27.75" customHeight="1">
      <c r="C162" s="27"/>
      <c r="D162" s="27"/>
      <c r="E162" s="27"/>
      <c r="F162" s="28" t="s">
        <v>428</v>
      </c>
      <c r="G162" s="103">
        <v>88400</v>
      </c>
      <c r="H162" s="103">
        <v>88400</v>
      </c>
      <c r="I162" s="104">
        <v>83200</v>
      </c>
      <c r="J162" s="25">
        <f t="shared" si="28"/>
        <v>94.11764705882352</v>
      </c>
      <c r="K162" s="6"/>
      <c r="L162" s="103"/>
      <c r="M162" s="104"/>
      <c r="N162" s="104"/>
      <c r="O162" s="118"/>
      <c r="P162" s="25"/>
      <c r="Q162" s="6"/>
      <c r="R162" s="103">
        <f t="shared" si="29"/>
        <v>88400</v>
      </c>
      <c r="S162" s="103">
        <f t="shared" si="30"/>
        <v>88400</v>
      </c>
      <c r="T162" s="106">
        <f t="shared" si="31"/>
        <v>83200</v>
      </c>
      <c r="U162" s="106">
        <f t="shared" si="32"/>
        <v>0</v>
      </c>
      <c r="V162" s="26">
        <f t="shared" si="33"/>
        <v>94.11764705882352</v>
      </c>
    </row>
    <row r="163" spans="3:22" s="20" customFormat="1" ht="28.5" customHeight="1">
      <c r="C163" s="27"/>
      <c r="D163" s="27"/>
      <c r="E163" s="27"/>
      <c r="F163" s="28" t="s">
        <v>47</v>
      </c>
      <c r="G163" s="103">
        <v>1776083</v>
      </c>
      <c r="H163" s="103">
        <v>1298200</v>
      </c>
      <c r="I163" s="103">
        <v>1651376.61</v>
      </c>
      <c r="J163" s="25">
        <f t="shared" si="28"/>
        <v>92.97857194736959</v>
      </c>
      <c r="K163" s="6"/>
      <c r="L163" s="103">
        <v>6683.4</v>
      </c>
      <c r="M163" s="104">
        <v>6683.4</v>
      </c>
      <c r="N163" s="104">
        <v>6683.4</v>
      </c>
      <c r="O163" s="118"/>
      <c r="P163" s="25">
        <f>N163/L163*100</f>
        <v>100</v>
      </c>
      <c r="Q163" s="6"/>
      <c r="R163" s="103">
        <f t="shared" si="29"/>
        <v>1782766.4</v>
      </c>
      <c r="S163" s="103">
        <f t="shared" si="30"/>
        <v>1304883.4</v>
      </c>
      <c r="T163" s="106">
        <f t="shared" si="31"/>
        <v>1658060.01</v>
      </c>
      <c r="U163" s="106">
        <f t="shared" si="32"/>
        <v>0</v>
      </c>
      <c r="V163" s="26">
        <f t="shared" si="33"/>
        <v>93.00489452796509</v>
      </c>
    </row>
    <row r="164" spans="3:22" s="20" customFormat="1" ht="39" customHeight="1">
      <c r="C164" s="27"/>
      <c r="D164" s="27"/>
      <c r="E164" s="27"/>
      <c r="F164" s="28" t="s">
        <v>407</v>
      </c>
      <c r="G164" s="103">
        <v>70600</v>
      </c>
      <c r="H164" s="103">
        <v>65000</v>
      </c>
      <c r="I164" s="103">
        <v>48600</v>
      </c>
      <c r="J164" s="25">
        <f t="shared" si="28"/>
        <v>68.83852691218131</v>
      </c>
      <c r="K164" s="6"/>
      <c r="L164" s="103"/>
      <c r="M164" s="104"/>
      <c r="N164" s="104"/>
      <c r="O164" s="118"/>
      <c r="P164" s="25"/>
      <c r="Q164" s="6"/>
      <c r="R164" s="103">
        <f t="shared" si="29"/>
        <v>70600</v>
      </c>
      <c r="S164" s="103">
        <f t="shared" si="30"/>
        <v>65000</v>
      </c>
      <c r="T164" s="106">
        <f t="shared" si="31"/>
        <v>48600</v>
      </c>
      <c r="U164" s="106">
        <f t="shared" si="32"/>
        <v>0</v>
      </c>
      <c r="V164" s="26">
        <f t="shared" si="33"/>
        <v>68.83852691218131</v>
      </c>
    </row>
    <row r="165" spans="3:22" s="20" customFormat="1" ht="37.5" customHeight="1">
      <c r="C165" s="27"/>
      <c r="D165" s="27"/>
      <c r="E165" s="27"/>
      <c r="F165" s="28" t="s">
        <v>298</v>
      </c>
      <c r="G165" s="103">
        <v>1524655</v>
      </c>
      <c r="H165" s="103">
        <v>1524655</v>
      </c>
      <c r="I165" s="103">
        <v>1524655</v>
      </c>
      <c r="J165" s="25">
        <f t="shared" si="28"/>
        <v>100</v>
      </c>
      <c r="K165" s="6"/>
      <c r="L165" s="103">
        <f>N165+Q165</f>
        <v>0</v>
      </c>
      <c r="M165" s="104"/>
      <c r="N165" s="104"/>
      <c r="O165" s="118"/>
      <c r="P165" s="25"/>
      <c r="Q165" s="6"/>
      <c r="R165" s="103">
        <f t="shared" si="29"/>
        <v>1524655</v>
      </c>
      <c r="S165" s="103">
        <f t="shared" si="30"/>
        <v>1524655</v>
      </c>
      <c r="T165" s="106">
        <f t="shared" si="31"/>
        <v>1524655</v>
      </c>
      <c r="U165" s="106">
        <f t="shared" si="32"/>
        <v>0</v>
      </c>
      <c r="V165" s="26">
        <f t="shared" si="33"/>
        <v>100</v>
      </c>
    </row>
    <row r="166" spans="3:22" s="17" customFormat="1" ht="32.25" customHeight="1">
      <c r="C166" s="23" t="s">
        <v>248</v>
      </c>
      <c r="D166" s="23" t="s">
        <v>247</v>
      </c>
      <c r="E166" s="23" t="s">
        <v>52</v>
      </c>
      <c r="F166" s="24" t="s">
        <v>148</v>
      </c>
      <c r="G166" s="107">
        <f>G167</f>
        <v>52259</v>
      </c>
      <c r="H166" s="107">
        <f>H167</f>
        <v>137300</v>
      </c>
      <c r="I166" s="107">
        <f aca="true" t="shared" si="36" ref="I166:Q166">I167</f>
        <v>52234.57</v>
      </c>
      <c r="J166" s="25">
        <f t="shared" si="28"/>
        <v>99.95325207141353</v>
      </c>
      <c r="K166" s="5">
        <f t="shared" si="36"/>
        <v>0</v>
      </c>
      <c r="L166" s="107">
        <f t="shared" si="36"/>
        <v>19847.2</v>
      </c>
      <c r="M166" s="107">
        <f t="shared" si="36"/>
        <v>19847.2</v>
      </c>
      <c r="N166" s="107">
        <f t="shared" si="36"/>
        <v>19846.239999999998</v>
      </c>
      <c r="O166" s="119">
        <f t="shared" si="36"/>
        <v>0</v>
      </c>
      <c r="P166" s="25">
        <f aca="true" t="shared" si="37" ref="P166:P173">N166/L166*100</f>
        <v>99.9951630456689</v>
      </c>
      <c r="Q166" s="5">
        <f t="shared" si="36"/>
        <v>0</v>
      </c>
      <c r="R166" s="103">
        <f t="shared" si="29"/>
        <v>72106.2</v>
      </c>
      <c r="S166" s="103">
        <f t="shared" si="30"/>
        <v>157147.2</v>
      </c>
      <c r="T166" s="106">
        <f t="shared" si="31"/>
        <v>72080.81</v>
      </c>
      <c r="U166" s="106">
        <f t="shared" si="32"/>
        <v>0</v>
      </c>
      <c r="V166" s="26">
        <f t="shared" si="33"/>
        <v>99.96478804873922</v>
      </c>
    </row>
    <row r="167" spans="3:22" s="20" customFormat="1" ht="36.75" customHeight="1">
      <c r="C167" s="27"/>
      <c r="D167" s="27"/>
      <c r="E167" s="27"/>
      <c r="F167" s="31" t="s">
        <v>330</v>
      </c>
      <c r="G167" s="103">
        <v>52259</v>
      </c>
      <c r="H167" s="103">
        <v>137300</v>
      </c>
      <c r="I167" s="103">
        <v>52234.57</v>
      </c>
      <c r="J167" s="25">
        <f t="shared" si="28"/>
        <v>99.95325207141353</v>
      </c>
      <c r="K167" s="6"/>
      <c r="L167" s="103">
        <v>19847.2</v>
      </c>
      <c r="M167" s="103">
        <v>19847.2</v>
      </c>
      <c r="N167" s="103">
        <v>19846.239999999998</v>
      </c>
      <c r="O167" s="117"/>
      <c r="P167" s="25">
        <f t="shared" si="37"/>
        <v>99.9951630456689</v>
      </c>
      <c r="Q167" s="6"/>
      <c r="R167" s="103">
        <f t="shared" si="29"/>
        <v>72106.2</v>
      </c>
      <c r="S167" s="103">
        <f t="shared" si="30"/>
        <v>157147.2</v>
      </c>
      <c r="T167" s="106">
        <f t="shared" si="31"/>
        <v>72080.81</v>
      </c>
      <c r="U167" s="106">
        <f t="shared" si="32"/>
        <v>0</v>
      </c>
      <c r="V167" s="26">
        <f t="shared" si="33"/>
        <v>99.96478804873922</v>
      </c>
    </row>
    <row r="168" spans="3:22" s="20" customFormat="1" ht="15" hidden="1">
      <c r="C168" s="27"/>
      <c r="D168" s="27"/>
      <c r="E168" s="27"/>
      <c r="F168" s="132" t="s">
        <v>448</v>
      </c>
      <c r="G168" s="103">
        <f>G174</f>
        <v>60000</v>
      </c>
      <c r="H168" s="103">
        <f>H174</f>
        <v>60000</v>
      </c>
      <c r="I168" s="103">
        <f>I174</f>
        <v>32000</v>
      </c>
      <c r="J168" s="25">
        <f t="shared" si="28"/>
        <v>53.333333333333336</v>
      </c>
      <c r="K168" s="6"/>
      <c r="L168" s="103"/>
      <c r="M168" s="103"/>
      <c r="N168" s="103"/>
      <c r="O168" s="117"/>
      <c r="P168" s="25" t="e">
        <f t="shared" si="37"/>
        <v>#DIV/0!</v>
      </c>
      <c r="Q168" s="6"/>
      <c r="R168" s="103">
        <f aca="true" t="shared" si="38" ref="R168:T171">G168+L168</f>
        <v>60000</v>
      </c>
      <c r="S168" s="103">
        <f t="shared" si="38"/>
        <v>60000</v>
      </c>
      <c r="T168" s="106">
        <f t="shared" si="38"/>
        <v>32000</v>
      </c>
      <c r="U168" s="106">
        <f>O168</f>
        <v>0</v>
      </c>
      <c r="V168" s="26">
        <f>T168/R168*100</f>
        <v>53.333333333333336</v>
      </c>
    </row>
    <row r="169" spans="3:22" s="20" customFormat="1" ht="15" hidden="1">
      <c r="C169" s="27"/>
      <c r="D169" s="27"/>
      <c r="E169" s="27"/>
      <c r="F169" s="132"/>
      <c r="G169" s="103"/>
      <c r="H169" s="103"/>
      <c r="I169" s="103"/>
      <c r="J169" s="25" t="e">
        <f t="shared" si="28"/>
        <v>#DIV/0!</v>
      </c>
      <c r="K169" s="6"/>
      <c r="L169" s="103"/>
      <c r="M169" s="103"/>
      <c r="N169" s="103"/>
      <c r="O169" s="117"/>
      <c r="P169" s="25" t="e">
        <f t="shared" si="37"/>
        <v>#DIV/0!</v>
      </c>
      <c r="Q169" s="6"/>
      <c r="R169" s="103">
        <f t="shared" si="38"/>
        <v>0</v>
      </c>
      <c r="S169" s="103">
        <f t="shared" si="38"/>
        <v>0</v>
      </c>
      <c r="T169" s="106">
        <f t="shared" si="38"/>
        <v>0</v>
      </c>
      <c r="U169" s="106">
        <f>O169</f>
        <v>0</v>
      </c>
      <c r="V169" s="26" t="e">
        <f>T169/R169*100</f>
        <v>#DIV/0!</v>
      </c>
    </row>
    <row r="170" spans="3:22" s="20" customFormat="1" ht="24.75" customHeight="1">
      <c r="C170" s="23" t="s">
        <v>516</v>
      </c>
      <c r="D170" s="23" t="s">
        <v>349</v>
      </c>
      <c r="E170" s="135" t="s">
        <v>517</v>
      </c>
      <c r="F170" s="154" t="s">
        <v>350</v>
      </c>
      <c r="G170" s="103"/>
      <c r="H170" s="103"/>
      <c r="I170" s="103"/>
      <c r="J170" s="25"/>
      <c r="K170" s="6"/>
      <c r="L170" s="103">
        <f>L171</f>
        <v>137263</v>
      </c>
      <c r="M170" s="103">
        <f>M171</f>
        <v>137263</v>
      </c>
      <c r="N170" s="103">
        <f>N171</f>
        <v>137263</v>
      </c>
      <c r="O170" s="117">
        <f>O171</f>
        <v>137263</v>
      </c>
      <c r="P170" s="25">
        <f t="shared" si="37"/>
        <v>100</v>
      </c>
      <c r="Q170" s="6"/>
      <c r="R170" s="103">
        <f t="shared" si="38"/>
        <v>137263</v>
      </c>
      <c r="S170" s="103">
        <f t="shared" si="38"/>
        <v>137263</v>
      </c>
      <c r="T170" s="106">
        <f t="shared" si="38"/>
        <v>137263</v>
      </c>
      <c r="U170" s="106">
        <f>O170</f>
        <v>137263</v>
      </c>
      <c r="V170" s="26">
        <f>T170/R170*100</f>
        <v>100</v>
      </c>
    </row>
    <row r="171" spans="3:22" s="20" customFormat="1" ht="43.5" customHeight="1">
      <c r="C171" s="27"/>
      <c r="D171" s="27"/>
      <c r="E171" s="27"/>
      <c r="F171" s="52" t="s">
        <v>484</v>
      </c>
      <c r="G171" s="103"/>
      <c r="H171" s="103"/>
      <c r="I171" s="103"/>
      <c r="J171" s="25"/>
      <c r="K171" s="6"/>
      <c r="L171" s="103">
        <v>137263</v>
      </c>
      <c r="M171" s="103">
        <v>137263</v>
      </c>
      <c r="N171" s="103">
        <v>137263</v>
      </c>
      <c r="O171" s="117">
        <f>N171</f>
        <v>137263</v>
      </c>
      <c r="P171" s="25">
        <f t="shared" si="37"/>
        <v>100</v>
      </c>
      <c r="Q171" s="6"/>
      <c r="R171" s="103">
        <f t="shared" si="38"/>
        <v>137263</v>
      </c>
      <c r="S171" s="103">
        <f t="shared" si="38"/>
        <v>137263</v>
      </c>
      <c r="T171" s="106">
        <f t="shared" si="38"/>
        <v>137263</v>
      </c>
      <c r="U171" s="106">
        <f>O171</f>
        <v>137263</v>
      </c>
      <c r="V171" s="26">
        <f>T171/R171*100</f>
        <v>100</v>
      </c>
    </row>
    <row r="172" spans="3:22" s="20" customFormat="1" ht="39" customHeight="1">
      <c r="C172" s="23" t="s">
        <v>492</v>
      </c>
      <c r="D172" s="23" t="s">
        <v>491</v>
      </c>
      <c r="E172" s="135" t="s">
        <v>30</v>
      </c>
      <c r="F172" s="133" t="s">
        <v>490</v>
      </c>
      <c r="G172" s="103"/>
      <c r="H172" s="103"/>
      <c r="I172" s="103"/>
      <c r="J172" s="25"/>
      <c r="K172" s="6"/>
      <c r="L172" s="103">
        <f>L173</f>
        <v>305000</v>
      </c>
      <c r="M172" s="103">
        <f>M173</f>
        <v>305000</v>
      </c>
      <c r="N172" s="103">
        <f>N173</f>
        <v>302720</v>
      </c>
      <c r="O172" s="103">
        <f>O173</f>
        <v>302720</v>
      </c>
      <c r="P172" s="25">
        <f t="shared" si="37"/>
        <v>99.25245901639344</v>
      </c>
      <c r="Q172" s="6"/>
      <c r="R172" s="103">
        <f t="shared" si="29"/>
        <v>305000</v>
      </c>
      <c r="S172" s="103">
        <f t="shared" si="30"/>
        <v>305000</v>
      </c>
      <c r="T172" s="106">
        <f t="shared" si="31"/>
        <v>302720</v>
      </c>
      <c r="U172" s="106">
        <f t="shared" si="32"/>
        <v>302720</v>
      </c>
      <c r="V172" s="26">
        <f t="shared" si="33"/>
        <v>99.25245901639344</v>
      </c>
    </row>
    <row r="173" spans="3:22" s="20" customFormat="1" ht="39" customHeight="1">
      <c r="C173" s="27"/>
      <c r="D173" s="27"/>
      <c r="E173" s="27"/>
      <c r="F173" s="90" t="s">
        <v>515</v>
      </c>
      <c r="G173" s="103"/>
      <c r="H173" s="103"/>
      <c r="I173" s="103"/>
      <c r="J173" s="25"/>
      <c r="K173" s="6"/>
      <c r="L173" s="103">
        <v>305000</v>
      </c>
      <c r="M173" s="103">
        <v>305000</v>
      </c>
      <c r="N173" s="103">
        <v>302720</v>
      </c>
      <c r="O173" s="117">
        <f>N173</f>
        <v>302720</v>
      </c>
      <c r="P173" s="25">
        <f t="shared" si="37"/>
        <v>99.25245901639344</v>
      </c>
      <c r="Q173" s="6"/>
      <c r="R173" s="103">
        <f t="shared" si="29"/>
        <v>305000</v>
      </c>
      <c r="S173" s="103">
        <f t="shared" si="30"/>
        <v>305000</v>
      </c>
      <c r="T173" s="106">
        <f t="shared" si="31"/>
        <v>302720</v>
      </c>
      <c r="U173" s="106">
        <f t="shared" si="32"/>
        <v>302720</v>
      </c>
      <c r="V173" s="26">
        <f t="shared" si="33"/>
        <v>99.25245901639344</v>
      </c>
    </row>
    <row r="174" spans="3:22" s="20" customFormat="1" ht="43.5" customHeight="1">
      <c r="C174" s="23" t="s">
        <v>451</v>
      </c>
      <c r="D174" s="135" t="s">
        <v>204</v>
      </c>
      <c r="E174" s="135" t="s">
        <v>67</v>
      </c>
      <c r="F174" s="133" t="s">
        <v>449</v>
      </c>
      <c r="G174" s="103">
        <f>G175</f>
        <v>60000</v>
      </c>
      <c r="H174" s="103">
        <f>H175</f>
        <v>60000</v>
      </c>
      <c r="I174" s="103">
        <f>I175</f>
        <v>32000</v>
      </c>
      <c r="J174" s="25">
        <f t="shared" si="28"/>
        <v>53.333333333333336</v>
      </c>
      <c r="K174" s="1"/>
      <c r="L174" s="103"/>
      <c r="M174" s="104"/>
      <c r="N174" s="104"/>
      <c r="O174" s="118"/>
      <c r="P174" s="25"/>
      <c r="Q174" s="6"/>
      <c r="R174" s="103">
        <f t="shared" si="29"/>
        <v>60000</v>
      </c>
      <c r="S174" s="103">
        <f t="shared" si="30"/>
        <v>60000</v>
      </c>
      <c r="T174" s="106">
        <f t="shared" si="31"/>
        <v>32000</v>
      </c>
      <c r="U174" s="106">
        <f t="shared" si="32"/>
        <v>0</v>
      </c>
      <c r="V174" s="26">
        <f t="shared" si="33"/>
        <v>53.333333333333336</v>
      </c>
    </row>
    <row r="175" spans="3:22" s="20" customFormat="1" ht="59.25" customHeight="1">
      <c r="C175" s="27"/>
      <c r="D175" s="27"/>
      <c r="E175" s="27"/>
      <c r="F175" s="90" t="s">
        <v>450</v>
      </c>
      <c r="G175" s="103">
        <v>60000</v>
      </c>
      <c r="H175" s="103">
        <v>60000</v>
      </c>
      <c r="I175" s="103">
        <v>32000</v>
      </c>
      <c r="J175" s="25">
        <f t="shared" si="28"/>
        <v>53.333333333333336</v>
      </c>
      <c r="K175" s="1"/>
      <c r="L175" s="103"/>
      <c r="M175" s="104"/>
      <c r="N175" s="104"/>
      <c r="O175" s="118"/>
      <c r="P175" s="25"/>
      <c r="Q175" s="6"/>
      <c r="R175" s="103">
        <f t="shared" si="29"/>
        <v>60000</v>
      </c>
      <c r="S175" s="103">
        <f t="shared" si="30"/>
        <v>60000</v>
      </c>
      <c r="T175" s="106">
        <f t="shared" si="31"/>
        <v>32000</v>
      </c>
      <c r="U175" s="106">
        <f t="shared" si="32"/>
        <v>0</v>
      </c>
      <c r="V175" s="26">
        <f t="shared" si="33"/>
        <v>53.333333333333336</v>
      </c>
    </row>
    <row r="176" spans="3:22" s="20" customFormat="1" ht="24.75" customHeight="1" hidden="1">
      <c r="C176" s="27"/>
      <c r="D176" s="134"/>
      <c r="E176" s="134"/>
      <c r="F176" s="132" t="s">
        <v>454</v>
      </c>
      <c r="G176" s="103">
        <f>G177+G180</f>
        <v>1540484</v>
      </c>
      <c r="H176" s="103">
        <f>H177+H180</f>
        <v>1540484</v>
      </c>
      <c r="I176" s="103">
        <f>I177+I180</f>
        <v>1040790.45</v>
      </c>
      <c r="J176" s="25">
        <f t="shared" si="28"/>
        <v>67.56256150664336</v>
      </c>
      <c r="K176" s="1"/>
      <c r="L176" s="103">
        <f>L177+L180</f>
        <v>0</v>
      </c>
      <c r="M176" s="103">
        <f>M177+M180</f>
        <v>0</v>
      </c>
      <c r="N176" s="103">
        <f>N177+N180</f>
        <v>0</v>
      </c>
      <c r="O176" s="103">
        <f>O177+O180</f>
        <v>0</v>
      </c>
      <c r="P176" s="25" t="e">
        <f>N176/L176*100</f>
        <v>#DIV/0!</v>
      </c>
      <c r="Q176" s="6"/>
      <c r="R176" s="103">
        <f t="shared" si="29"/>
        <v>1540484</v>
      </c>
      <c r="S176" s="103">
        <f t="shared" si="30"/>
        <v>1540484</v>
      </c>
      <c r="T176" s="106">
        <f t="shared" si="31"/>
        <v>1040790.45</v>
      </c>
      <c r="U176" s="106">
        <f t="shared" si="32"/>
        <v>0</v>
      </c>
      <c r="V176" s="26">
        <f t="shared" si="33"/>
        <v>67.56256150664336</v>
      </c>
    </row>
    <row r="177" spans="3:22" s="20" customFormat="1" ht="34.5" customHeight="1">
      <c r="C177" s="23" t="s">
        <v>150</v>
      </c>
      <c r="D177" s="23" t="s">
        <v>151</v>
      </c>
      <c r="E177" s="23" t="s">
        <v>28</v>
      </c>
      <c r="F177" s="40" t="s">
        <v>149</v>
      </c>
      <c r="G177" s="103">
        <f>G178+G179</f>
        <v>1527079</v>
      </c>
      <c r="H177" s="103">
        <f>H178+H179</f>
        <v>1527079</v>
      </c>
      <c r="I177" s="103">
        <f>I178+I179</f>
        <v>1027385.45</v>
      </c>
      <c r="J177" s="25">
        <f t="shared" si="28"/>
        <v>67.27781928767274</v>
      </c>
      <c r="K177" s="5">
        <f>K179</f>
        <v>0</v>
      </c>
      <c r="L177" s="103">
        <f>L178+L179</f>
        <v>0</v>
      </c>
      <c r="M177" s="103">
        <f>M178+M179</f>
        <v>0</v>
      </c>
      <c r="N177" s="103">
        <f>N178+N179</f>
        <v>0</v>
      </c>
      <c r="O177" s="103">
        <f>O178+O179</f>
        <v>0</v>
      </c>
      <c r="P177" s="25"/>
      <c r="Q177" s="5">
        <f>Q179</f>
        <v>1500000</v>
      </c>
      <c r="R177" s="103">
        <f t="shared" si="29"/>
        <v>1527079</v>
      </c>
      <c r="S177" s="103">
        <f t="shared" si="30"/>
        <v>1527079</v>
      </c>
      <c r="T177" s="106">
        <f t="shared" si="31"/>
        <v>1027385.45</v>
      </c>
      <c r="U177" s="106">
        <f t="shared" si="32"/>
        <v>0</v>
      </c>
      <c r="V177" s="26">
        <f t="shared" si="33"/>
        <v>67.27781928767274</v>
      </c>
    </row>
    <row r="178" spans="3:22" s="20" customFormat="1" ht="59.25" customHeight="1">
      <c r="C178" s="23"/>
      <c r="D178" s="23"/>
      <c r="E178" s="23"/>
      <c r="F178" s="90" t="s">
        <v>450</v>
      </c>
      <c r="G178" s="103">
        <v>27079</v>
      </c>
      <c r="H178" s="107">
        <v>27079</v>
      </c>
      <c r="I178" s="107">
        <v>27079</v>
      </c>
      <c r="J178" s="25">
        <f t="shared" si="28"/>
        <v>100</v>
      </c>
      <c r="K178" s="5"/>
      <c r="L178" s="103"/>
      <c r="M178" s="107"/>
      <c r="N178" s="107"/>
      <c r="O178" s="119"/>
      <c r="P178" s="25"/>
      <c r="Q178" s="5"/>
      <c r="R178" s="103">
        <f t="shared" si="29"/>
        <v>27079</v>
      </c>
      <c r="S178" s="103">
        <f t="shared" si="30"/>
        <v>27079</v>
      </c>
      <c r="T178" s="106">
        <f t="shared" si="31"/>
        <v>27079</v>
      </c>
      <c r="U178" s="106">
        <f t="shared" si="32"/>
        <v>0</v>
      </c>
      <c r="V178" s="26">
        <f t="shared" si="33"/>
        <v>100</v>
      </c>
    </row>
    <row r="179" spans="3:22" s="20" customFormat="1" ht="117" customHeight="1">
      <c r="C179" s="27"/>
      <c r="D179" s="27"/>
      <c r="E179" s="27"/>
      <c r="F179" s="28" t="s">
        <v>411</v>
      </c>
      <c r="G179" s="103">
        <v>1500000</v>
      </c>
      <c r="H179" s="103">
        <v>1500000</v>
      </c>
      <c r="I179" s="103">
        <v>1000306.45</v>
      </c>
      <c r="J179" s="25">
        <f t="shared" si="28"/>
        <v>66.68709666666666</v>
      </c>
      <c r="K179" s="1"/>
      <c r="L179" s="103"/>
      <c r="M179" s="103"/>
      <c r="N179" s="103"/>
      <c r="O179" s="117"/>
      <c r="P179" s="25"/>
      <c r="Q179" s="1">
        <v>1500000</v>
      </c>
      <c r="R179" s="103">
        <f t="shared" si="29"/>
        <v>1500000</v>
      </c>
      <c r="S179" s="103">
        <f t="shared" si="30"/>
        <v>1500000</v>
      </c>
      <c r="T179" s="106">
        <f t="shared" si="31"/>
        <v>1000306.45</v>
      </c>
      <c r="U179" s="106">
        <f t="shared" si="32"/>
        <v>0</v>
      </c>
      <c r="V179" s="26">
        <f t="shared" si="33"/>
        <v>66.68709666666666</v>
      </c>
    </row>
    <row r="180" spans="3:22" s="20" customFormat="1" ht="40.5" customHeight="1">
      <c r="C180" s="23" t="s">
        <v>452</v>
      </c>
      <c r="D180" s="23" t="s">
        <v>110</v>
      </c>
      <c r="E180" s="23" t="s">
        <v>28</v>
      </c>
      <c r="F180" s="136" t="s">
        <v>353</v>
      </c>
      <c r="G180" s="103">
        <f>G181</f>
        <v>13405</v>
      </c>
      <c r="H180" s="103">
        <f>H181</f>
        <v>13405</v>
      </c>
      <c r="I180" s="103">
        <f>I181</f>
        <v>13405</v>
      </c>
      <c r="J180" s="25">
        <f t="shared" si="28"/>
        <v>100</v>
      </c>
      <c r="K180" s="1"/>
      <c r="L180" s="103"/>
      <c r="M180" s="103"/>
      <c r="N180" s="103"/>
      <c r="O180" s="117"/>
      <c r="P180" s="25"/>
      <c r="Q180" s="1"/>
      <c r="R180" s="103">
        <f t="shared" si="29"/>
        <v>13405</v>
      </c>
      <c r="S180" s="103">
        <f t="shared" si="30"/>
        <v>13405</v>
      </c>
      <c r="T180" s="106">
        <f t="shared" si="31"/>
        <v>13405</v>
      </c>
      <c r="U180" s="106">
        <f t="shared" si="32"/>
        <v>0</v>
      </c>
      <c r="V180" s="26">
        <f t="shared" si="33"/>
        <v>100</v>
      </c>
    </row>
    <row r="181" spans="3:22" s="20" customFormat="1" ht="153" customHeight="1">
      <c r="C181" s="27"/>
      <c r="D181" s="27"/>
      <c r="E181" s="27"/>
      <c r="F181" s="89" t="s">
        <v>453</v>
      </c>
      <c r="G181" s="103">
        <v>13405</v>
      </c>
      <c r="H181" s="103">
        <v>13405</v>
      </c>
      <c r="I181" s="103">
        <v>13405</v>
      </c>
      <c r="J181" s="25">
        <f t="shared" si="28"/>
        <v>100</v>
      </c>
      <c r="K181" s="1"/>
      <c r="L181" s="103"/>
      <c r="M181" s="103"/>
      <c r="N181" s="103"/>
      <c r="O181" s="117"/>
      <c r="P181" s="25"/>
      <c r="Q181" s="1"/>
      <c r="R181" s="103">
        <f t="shared" si="29"/>
        <v>13405</v>
      </c>
      <c r="S181" s="103">
        <f t="shared" si="30"/>
        <v>13405</v>
      </c>
      <c r="T181" s="106">
        <f t="shared" si="31"/>
        <v>13405</v>
      </c>
      <c r="U181" s="106">
        <f t="shared" si="32"/>
        <v>0</v>
      </c>
      <c r="V181" s="26">
        <f t="shared" si="33"/>
        <v>100</v>
      </c>
    </row>
    <row r="182" spans="3:22" s="29" customFormat="1" ht="32.25" customHeight="1">
      <c r="C182" s="18"/>
      <c r="D182" s="18"/>
      <c r="E182" s="18"/>
      <c r="F182" s="45" t="s">
        <v>5</v>
      </c>
      <c r="G182" s="108">
        <f>G90+G93+G123+G176+G174+G172</f>
        <v>66891330.53</v>
      </c>
      <c r="H182" s="108">
        <f>H90+H93+H123+H176+H174+H172</f>
        <v>56147757.129999995</v>
      </c>
      <c r="I182" s="108">
        <f>I90+I93+I123+I176+I174+I172</f>
        <v>64926197.88</v>
      </c>
      <c r="J182" s="25">
        <f t="shared" si="28"/>
        <v>97.06220128314138</v>
      </c>
      <c r="K182" s="108" t="e">
        <f>K90+K93+K123+K176+K174+K172</f>
        <v>#REF!</v>
      </c>
      <c r="L182" s="108">
        <f>L90+L93+L123+L176+L174+L172+L170</f>
        <v>9941262.26</v>
      </c>
      <c r="M182" s="108">
        <f>M90+M93+M123+M176+M174+M172+M170</f>
        <v>9998921.66</v>
      </c>
      <c r="N182" s="108">
        <f>N90+N93+N123+N176+N174+N172+N170</f>
        <v>9801381.44</v>
      </c>
      <c r="O182" s="108">
        <f>O90+O93+O123+O176+O174+O172+O170</f>
        <v>9598404.32</v>
      </c>
      <c r="P182" s="39">
        <f>N182/L182*100</f>
        <v>98.5929269710263</v>
      </c>
      <c r="Q182" s="7" t="e">
        <f>Q90+Q93+Q123+#REF!+#REF!+Q177</f>
        <v>#REF!</v>
      </c>
      <c r="R182" s="103">
        <f t="shared" si="29"/>
        <v>76832592.79</v>
      </c>
      <c r="S182" s="103">
        <f t="shared" si="30"/>
        <v>66146678.78999999</v>
      </c>
      <c r="T182" s="106">
        <f t="shared" si="31"/>
        <v>74727579.32000001</v>
      </c>
      <c r="U182" s="106">
        <f t="shared" si="32"/>
        <v>9598404.32</v>
      </c>
      <c r="V182" s="26">
        <f t="shared" si="33"/>
        <v>97.26025974972177</v>
      </c>
    </row>
    <row r="183" spans="3:22" s="29" customFormat="1" ht="30.75" customHeight="1">
      <c r="C183" s="18" t="s">
        <v>99</v>
      </c>
      <c r="D183" s="18"/>
      <c r="E183" s="18"/>
      <c r="F183" s="38" t="s">
        <v>370</v>
      </c>
      <c r="G183" s="108"/>
      <c r="H183" s="108"/>
      <c r="I183" s="108"/>
      <c r="J183" s="25"/>
      <c r="K183" s="7"/>
      <c r="L183" s="108"/>
      <c r="M183" s="108"/>
      <c r="N183" s="108"/>
      <c r="O183" s="123"/>
      <c r="P183" s="25"/>
      <c r="Q183" s="7"/>
      <c r="R183" s="103"/>
      <c r="S183" s="103"/>
      <c r="T183" s="106"/>
      <c r="U183" s="106"/>
      <c r="V183" s="26"/>
    </row>
    <row r="184" spans="3:22" s="20" customFormat="1" ht="30" customHeight="1">
      <c r="C184" s="21" t="s">
        <v>184</v>
      </c>
      <c r="D184" s="27"/>
      <c r="E184" s="27"/>
      <c r="F184" s="59" t="s">
        <v>370</v>
      </c>
      <c r="G184" s="104"/>
      <c r="H184" s="104"/>
      <c r="I184" s="104"/>
      <c r="J184" s="25"/>
      <c r="K184" s="6"/>
      <c r="L184" s="104"/>
      <c r="M184" s="104"/>
      <c r="N184" s="104"/>
      <c r="O184" s="118"/>
      <c r="P184" s="25"/>
      <c r="Q184" s="6"/>
      <c r="R184" s="103"/>
      <c r="S184" s="103"/>
      <c r="T184" s="106"/>
      <c r="U184" s="106"/>
      <c r="V184" s="26"/>
    </row>
    <row r="185" spans="1:22" s="17" customFormat="1" ht="45" customHeight="1">
      <c r="A185" s="17">
        <v>4</v>
      </c>
      <c r="B185" s="17">
        <v>35</v>
      </c>
      <c r="C185" s="23" t="s">
        <v>100</v>
      </c>
      <c r="D185" s="23" t="s">
        <v>32</v>
      </c>
      <c r="E185" s="23" t="s">
        <v>29</v>
      </c>
      <c r="F185" s="40" t="s">
        <v>101</v>
      </c>
      <c r="G185" s="103">
        <f>G186+G187</f>
        <v>2341194</v>
      </c>
      <c r="H185" s="103">
        <f>H186+H187</f>
        <v>1927243</v>
      </c>
      <c r="I185" s="103">
        <f>I186+I187</f>
        <v>2338192.32</v>
      </c>
      <c r="J185" s="25">
        <f t="shared" si="28"/>
        <v>99.871788497664</v>
      </c>
      <c r="K185" s="1"/>
      <c r="L185" s="103">
        <f>L186+L187</f>
        <v>28700.95</v>
      </c>
      <c r="M185" s="103">
        <f>M186+M187</f>
        <v>8290</v>
      </c>
      <c r="N185" s="103">
        <f>N186+N187</f>
        <v>1909.34</v>
      </c>
      <c r="O185" s="103">
        <f>O186+O187</f>
        <v>0</v>
      </c>
      <c r="P185" s="25">
        <f>N185/L185*100</f>
        <v>6.652532407463864</v>
      </c>
      <c r="Q185" s="1"/>
      <c r="R185" s="103">
        <f t="shared" si="29"/>
        <v>2369894.95</v>
      </c>
      <c r="S185" s="103">
        <f t="shared" si="30"/>
        <v>1935533</v>
      </c>
      <c r="T185" s="106">
        <f t="shared" si="31"/>
        <v>2340101.6599999997</v>
      </c>
      <c r="U185" s="106">
        <f t="shared" si="32"/>
        <v>0</v>
      </c>
      <c r="V185" s="26">
        <f t="shared" si="33"/>
        <v>98.74284343278589</v>
      </c>
    </row>
    <row r="186" spans="3:22" s="17" customFormat="1" ht="27.75" customHeight="1">
      <c r="C186" s="23"/>
      <c r="D186" s="23"/>
      <c r="E186" s="23"/>
      <c r="F186" s="60" t="s">
        <v>466</v>
      </c>
      <c r="G186" s="103">
        <v>2336194</v>
      </c>
      <c r="H186" s="103">
        <v>1922243</v>
      </c>
      <c r="I186" s="103">
        <v>2333192.32</v>
      </c>
      <c r="J186" s="25">
        <f t="shared" si="28"/>
        <v>99.87151409514792</v>
      </c>
      <c r="K186" s="1"/>
      <c r="L186" s="103">
        <v>28700.95</v>
      </c>
      <c r="M186" s="103">
        <v>8290</v>
      </c>
      <c r="N186" s="103">
        <v>1909.34</v>
      </c>
      <c r="O186" s="117"/>
      <c r="P186" s="25">
        <f>N186/L186*100</f>
        <v>6.652532407463864</v>
      </c>
      <c r="Q186" s="1"/>
      <c r="R186" s="103">
        <f t="shared" si="29"/>
        <v>2364894.95</v>
      </c>
      <c r="S186" s="103">
        <f t="shared" si="30"/>
        <v>1930533</v>
      </c>
      <c r="T186" s="106">
        <f t="shared" si="31"/>
        <v>2335101.6599999997</v>
      </c>
      <c r="U186" s="106">
        <f t="shared" si="32"/>
        <v>0</v>
      </c>
      <c r="V186" s="26">
        <f t="shared" si="33"/>
        <v>98.74018547842894</v>
      </c>
    </row>
    <row r="187" spans="3:22" s="17" customFormat="1" ht="62.25" customHeight="1">
      <c r="C187" s="23"/>
      <c r="D187" s="23"/>
      <c r="E187" s="23"/>
      <c r="F187" s="90" t="s">
        <v>450</v>
      </c>
      <c r="G187" s="103">
        <v>5000</v>
      </c>
      <c r="H187" s="103">
        <v>5000</v>
      </c>
      <c r="I187" s="103">
        <v>5000</v>
      </c>
      <c r="J187" s="25">
        <f t="shared" si="28"/>
        <v>100</v>
      </c>
      <c r="K187" s="1"/>
      <c r="L187" s="103"/>
      <c r="M187" s="103"/>
      <c r="N187" s="103"/>
      <c r="O187" s="117"/>
      <c r="P187" s="25"/>
      <c r="Q187" s="1"/>
      <c r="R187" s="103">
        <f t="shared" si="29"/>
        <v>5000</v>
      </c>
      <c r="S187" s="103">
        <f t="shared" si="30"/>
        <v>5000</v>
      </c>
      <c r="T187" s="106">
        <f t="shared" si="31"/>
        <v>5000</v>
      </c>
      <c r="U187" s="106">
        <f t="shared" si="32"/>
        <v>0</v>
      </c>
      <c r="V187" s="26">
        <f t="shared" si="33"/>
        <v>100</v>
      </c>
    </row>
    <row r="188" spans="3:22" s="29" customFormat="1" ht="38.25" customHeight="1">
      <c r="C188" s="18" t="s">
        <v>207</v>
      </c>
      <c r="D188" s="18" t="s">
        <v>182</v>
      </c>
      <c r="E188" s="18"/>
      <c r="F188" s="19" t="s">
        <v>183</v>
      </c>
      <c r="G188" s="108">
        <f>G195+G189</f>
        <v>6611830</v>
      </c>
      <c r="H188" s="108">
        <f>H195+H189</f>
        <v>4929532</v>
      </c>
      <c r="I188" s="108">
        <f>I195+I189</f>
        <v>6587668.37</v>
      </c>
      <c r="J188" s="25">
        <f t="shared" si="28"/>
        <v>99.6345697030928</v>
      </c>
      <c r="K188" s="7">
        <f>K195+K189</f>
        <v>0</v>
      </c>
      <c r="L188" s="108">
        <f>L189+L195</f>
        <v>233571.51</v>
      </c>
      <c r="M188" s="108">
        <f>M189+M195</f>
        <v>61468.509999999995</v>
      </c>
      <c r="N188" s="108">
        <f>N189+N195</f>
        <v>233476.51</v>
      </c>
      <c r="O188" s="123">
        <f>O189+O195</f>
        <v>127370</v>
      </c>
      <c r="P188" s="25">
        <f>N188/L188*100</f>
        <v>99.95932723130488</v>
      </c>
      <c r="Q188" s="7">
        <f>Q195+Q189</f>
        <v>0</v>
      </c>
      <c r="R188" s="103">
        <f t="shared" si="29"/>
        <v>6845401.51</v>
      </c>
      <c r="S188" s="103">
        <f t="shared" si="30"/>
        <v>4991000.51</v>
      </c>
      <c r="T188" s="106">
        <f t="shared" si="31"/>
        <v>6821144.88</v>
      </c>
      <c r="U188" s="106">
        <f t="shared" si="32"/>
        <v>127370</v>
      </c>
      <c r="V188" s="26">
        <f t="shared" si="33"/>
        <v>99.64565073407944</v>
      </c>
    </row>
    <row r="189" spans="3:22" s="29" customFormat="1" ht="39" customHeight="1">
      <c r="C189" s="23" t="s">
        <v>380</v>
      </c>
      <c r="D189" s="23" t="s">
        <v>381</v>
      </c>
      <c r="E189" s="23" t="s">
        <v>42</v>
      </c>
      <c r="F189" s="40" t="s">
        <v>410</v>
      </c>
      <c r="G189" s="103">
        <f>SUM(G190:G194)</f>
        <v>6564830</v>
      </c>
      <c r="H189" s="103">
        <f aca="true" t="shared" si="39" ref="H189:Q189">SUM(H190:H194)</f>
        <v>4885532</v>
      </c>
      <c r="I189" s="103">
        <f t="shared" si="39"/>
        <v>6562578.33</v>
      </c>
      <c r="J189" s="25">
        <f t="shared" si="28"/>
        <v>99.9657010158679</v>
      </c>
      <c r="K189" s="103">
        <f t="shared" si="39"/>
        <v>0</v>
      </c>
      <c r="L189" s="103">
        <f>SUM(L190:L194)</f>
        <v>233571.51</v>
      </c>
      <c r="M189" s="103">
        <f t="shared" si="39"/>
        <v>61468.509999999995</v>
      </c>
      <c r="N189" s="103">
        <f t="shared" si="39"/>
        <v>233476.51</v>
      </c>
      <c r="O189" s="103">
        <f t="shared" si="39"/>
        <v>127370</v>
      </c>
      <c r="P189" s="25">
        <f>N189/L189*100</f>
        <v>99.95932723130488</v>
      </c>
      <c r="Q189" s="103">
        <f t="shared" si="39"/>
        <v>0</v>
      </c>
      <c r="R189" s="103">
        <f t="shared" si="29"/>
        <v>6798401.51</v>
      </c>
      <c r="S189" s="103">
        <f t="shared" si="30"/>
        <v>4947000.51</v>
      </c>
      <c r="T189" s="106">
        <f t="shared" si="31"/>
        <v>6796054.84</v>
      </c>
      <c r="U189" s="106">
        <f t="shared" si="32"/>
        <v>127370</v>
      </c>
      <c r="V189" s="26">
        <f t="shared" si="33"/>
        <v>99.96548203284922</v>
      </c>
    </row>
    <row r="190" spans="3:22" s="29" customFormat="1" ht="57" customHeight="1">
      <c r="C190" s="23"/>
      <c r="D190" s="23"/>
      <c r="E190" s="23"/>
      <c r="F190" s="28" t="s">
        <v>429</v>
      </c>
      <c r="G190" s="103">
        <v>5620298</v>
      </c>
      <c r="H190" s="103">
        <v>4346800</v>
      </c>
      <c r="I190" s="103">
        <v>5620297.99</v>
      </c>
      <c r="J190" s="25">
        <f t="shared" si="28"/>
        <v>99.99999982207349</v>
      </c>
      <c r="K190" s="7"/>
      <c r="L190" s="103">
        <v>90602</v>
      </c>
      <c r="M190" s="108"/>
      <c r="N190" s="103">
        <v>90602</v>
      </c>
      <c r="O190" s="117">
        <f>N190</f>
        <v>90602</v>
      </c>
      <c r="P190" s="25"/>
      <c r="Q190" s="7"/>
      <c r="R190" s="103">
        <f t="shared" si="29"/>
        <v>5710900</v>
      </c>
      <c r="S190" s="103">
        <f t="shared" si="30"/>
        <v>4346800</v>
      </c>
      <c r="T190" s="106">
        <f t="shared" si="31"/>
        <v>5710899.99</v>
      </c>
      <c r="U190" s="106">
        <f t="shared" si="32"/>
        <v>90602</v>
      </c>
      <c r="V190" s="26">
        <f t="shared" si="33"/>
        <v>99.99999982489626</v>
      </c>
    </row>
    <row r="191" spans="3:22" s="29" customFormat="1" ht="65.25" customHeight="1">
      <c r="C191" s="23"/>
      <c r="D191" s="23"/>
      <c r="E191" s="23"/>
      <c r="F191" s="28" t="s">
        <v>450</v>
      </c>
      <c r="G191" s="103">
        <v>5000</v>
      </c>
      <c r="H191" s="103">
        <v>5000</v>
      </c>
      <c r="I191" s="103">
        <v>5000</v>
      </c>
      <c r="J191" s="25">
        <f t="shared" si="28"/>
        <v>100</v>
      </c>
      <c r="K191" s="7"/>
      <c r="L191" s="103"/>
      <c r="M191" s="108"/>
      <c r="N191" s="108"/>
      <c r="O191" s="123"/>
      <c r="P191" s="25"/>
      <c r="Q191" s="7"/>
      <c r="R191" s="103">
        <f t="shared" si="29"/>
        <v>5000</v>
      </c>
      <c r="S191" s="103">
        <f t="shared" si="30"/>
        <v>5000</v>
      </c>
      <c r="T191" s="106">
        <f t="shared" si="31"/>
        <v>5000</v>
      </c>
      <c r="U191" s="106">
        <f t="shared" si="32"/>
        <v>0</v>
      </c>
      <c r="V191" s="26">
        <f t="shared" si="33"/>
        <v>100</v>
      </c>
    </row>
    <row r="192" spans="3:22" s="29" customFormat="1" ht="49.5" customHeight="1">
      <c r="C192" s="23"/>
      <c r="D192" s="23"/>
      <c r="E192" s="23"/>
      <c r="F192" s="60" t="s">
        <v>460</v>
      </c>
      <c r="G192" s="103"/>
      <c r="H192" s="103"/>
      <c r="I192" s="103"/>
      <c r="J192" s="25"/>
      <c r="K192" s="7"/>
      <c r="L192" s="103">
        <f>7808.41+98298.1</f>
        <v>106106.51000000001</v>
      </c>
      <c r="M192" s="103">
        <f>7808.41+33997.1</f>
        <v>41805.509999999995</v>
      </c>
      <c r="N192" s="103">
        <f>7808.41+98298.1</f>
        <v>106106.51000000001</v>
      </c>
      <c r="O192" s="117"/>
      <c r="P192" s="25">
        <f>N192/L192*100</f>
        <v>100</v>
      </c>
      <c r="Q192" s="7"/>
      <c r="R192" s="103">
        <f t="shared" si="29"/>
        <v>106106.51000000001</v>
      </c>
      <c r="S192" s="103">
        <f t="shared" si="30"/>
        <v>41805.509999999995</v>
      </c>
      <c r="T192" s="106">
        <f t="shared" si="31"/>
        <v>106106.51000000001</v>
      </c>
      <c r="U192" s="106">
        <f t="shared" si="32"/>
        <v>0</v>
      </c>
      <c r="V192" s="26">
        <f t="shared" si="33"/>
        <v>100</v>
      </c>
    </row>
    <row r="193" spans="3:22" s="29" customFormat="1" ht="45" customHeight="1">
      <c r="C193" s="23"/>
      <c r="D193" s="23"/>
      <c r="E193" s="23"/>
      <c r="F193" s="60" t="s">
        <v>347</v>
      </c>
      <c r="G193" s="103">
        <v>8500</v>
      </c>
      <c r="H193" s="103">
        <v>8500</v>
      </c>
      <c r="I193" s="103">
        <v>8500</v>
      </c>
      <c r="J193" s="25"/>
      <c r="K193" s="7"/>
      <c r="L193" s="103">
        <v>19663</v>
      </c>
      <c r="M193" s="103">
        <v>19663</v>
      </c>
      <c r="N193" s="103">
        <v>19568</v>
      </c>
      <c r="O193" s="117">
        <f>N193</f>
        <v>19568</v>
      </c>
      <c r="P193" s="25">
        <f>N193/L193*100</f>
        <v>99.51685907542084</v>
      </c>
      <c r="Q193" s="7"/>
      <c r="R193" s="103">
        <f t="shared" si="29"/>
        <v>28163</v>
      </c>
      <c r="S193" s="103">
        <f t="shared" si="30"/>
        <v>28163</v>
      </c>
      <c r="T193" s="106">
        <f t="shared" si="31"/>
        <v>28068</v>
      </c>
      <c r="U193" s="106">
        <f t="shared" si="32"/>
        <v>19568</v>
      </c>
      <c r="V193" s="26">
        <f t="shared" si="33"/>
        <v>99.6626779817491</v>
      </c>
    </row>
    <row r="194" spans="3:22" s="29" customFormat="1" ht="40.5" customHeight="1">
      <c r="C194" s="23"/>
      <c r="D194" s="23"/>
      <c r="E194" s="23"/>
      <c r="F194" s="60" t="s">
        <v>408</v>
      </c>
      <c r="G194" s="103">
        <v>931032</v>
      </c>
      <c r="H194" s="103">
        <v>525232</v>
      </c>
      <c r="I194" s="103">
        <v>928780.34</v>
      </c>
      <c r="J194" s="25">
        <f t="shared" si="28"/>
        <v>99.75815439211542</v>
      </c>
      <c r="K194" s="7"/>
      <c r="L194" s="103">
        <v>17200</v>
      </c>
      <c r="M194" s="103"/>
      <c r="N194" s="103">
        <v>17200</v>
      </c>
      <c r="O194" s="117">
        <f>N194</f>
        <v>17200</v>
      </c>
      <c r="P194" s="25">
        <f>N194/L194*100</f>
        <v>100</v>
      </c>
      <c r="Q194" s="7"/>
      <c r="R194" s="103">
        <f t="shared" si="29"/>
        <v>948232</v>
      </c>
      <c r="S194" s="103">
        <f t="shared" si="30"/>
        <v>525232</v>
      </c>
      <c r="T194" s="106">
        <f t="shared" si="31"/>
        <v>945980.34</v>
      </c>
      <c r="U194" s="106">
        <f t="shared" si="32"/>
        <v>17200</v>
      </c>
      <c r="V194" s="26">
        <f t="shared" si="33"/>
        <v>99.76254123463455</v>
      </c>
    </row>
    <row r="195" spans="3:22" s="17" customFormat="1" ht="21.75" customHeight="1">
      <c r="C195" s="23" t="s">
        <v>156</v>
      </c>
      <c r="D195" s="23" t="s">
        <v>53</v>
      </c>
      <c r="E195" s="23" t="s">
        <v>42</v>
      </c>
      <c r="F195" s="40" t="s">
        <v>157</v>
      </c>
      <c r="G195" s="103">
        <f>G196</f>
        <v>47000</v>
      </c>
      <c r="H195" s="103">
        <f>H196</f>
        <v>44000</v>
      </c>
      <c r="I195" s="103">
        <f>I196</f>
        <v>25090.04</v>
      </c>
      <c r="J195" s="25">
        <f t="shared" si="28"/>
        <v>53.38306382978723</v>
      </c>
      <c r="K195" s="1">
        <f>K196</f>
        <v>0</v>
      </c>
      <c r="L195" s="103"/>
      <c r="M195" s="103"/>
      <c r="N195" s="103"/>
      <c r="O195" s="117"/>
      <c r="P195" s="25"/>
      <c r="Q195" s="1">
        <f>Q196</f>
        <v>0</v>
      </c>
      <c r="R195" s="103">
        <f t="shared" si="29"/>
        <v>47000</v>
      </c>
      <c r="S195" s="103">
        <f t="shared" si="30"/>
        <v>44000</v>
      </c>
      <c r="T195" s="106">
        <f t="shared" si="31"/>
        <v>25090.04</v>
      </c>
      <c r="U195" s="106">
        <f t="shared" si="32"/>
        <v>0</v>
      </c>
      <c r="V195" s="26">
        <f t="shared" si="33"/>
        <v>53.38306382978723</v>
      </c>
    </row>
    <row r="196" spans="3:22" s="20" customFormat="1" ht="40.5" customHeight="1">
      <c r="C196" s="27"/>
      <c r="D196" s="27"/>
      <c r="E196" s="27"/>
      <c r="F196" s="28" t="s">
        <v>392</v>
      </c>
      <c r="G196" s="103">
        <v>47000</v>
      </c>
      <c r="H196" s="103">
        <v>44000</v>
      </c>
      <c r="I196" s="103">
        <v>25090.04</v>
      </c>
      <c r="J196" s="25">
        <f t="shared" si="28"/>
        <v>53.38306382978723</v>
      </c>
      <c r="K196" s="6"/>
      <c r="L196" s="104"/>
      <c r="M196" s="104"/>
      <c r="N196" s="104"/>
      <c r="O196" s="118"/>
      <c r="P196" s="25"/>
      <c r="Q196" s="6"/>
      <c r="R196" s="103">
        <f t="shared" si="29"/>
        <v>47000</v>
      </c>
      <c r="S196" s="103">
        <f t="shared" si="30"/>
        <v>44000</v>
      </c>
      <c r="T196" s="106">
        <f t="shared" si="31"/>
        <v>25090.04</v>
      </c>
      <c r="U196" s="106">
        <f t="shared" si="32"/>
        <v>0</v>
      </c>
      <c r="V196" s="26">
        <f t="shared" si="33"/>
        <v>53.38306382978723</v>
      </c>
    </row>
    <row r="197" spans="3:22" s="20" customFormat="1" ht="40.5" customHeight="1">
      <c r="C197" s="27" t="s">
        <v>495</v>
      </c>
      <c r="D197" s="27" t="s">
        <v>249</v>
      </c>
      <c r="E197" s="146"/>
      <c r="F197" s="90" t="s">
        <v>493</v>
      </c>
      <c r="G197" s="103"/>
      <c r="H197" s="103"/>
      <c r="I197" s="103"/>
      <c r="J197" s="25"/>
      <c r="K197" s="6"/>
      <c r="L197" s="104">
        <f>L198</f>
        <v>77732</v>
      </c>
      <c r="M197" s="104">
        <f>M198</f>
        <v>64732</v>
      </c>
      <c r="N197" s="104">
        <f>N198</f>
        <v>64732</v>
      </c>
      <c r="O197" s="104">
        <f>O198</f>
        <v>0</v>
      </c>
      <c r="P197" s="25">
        <f>N197/L197*100</f>
        <v>83.27587094118253</v>
      </c>
      <c r="Q197" s="6"/>
      <c r="R197" s="103">
        <f t="shared" si="29"/>
        <v>77732</v>
      </c>
      <c r="S197" s="103">
        <f t="shared" si="30"/>
        <v>64732</v>
      </c>
      <c r="T197" s="106">
        <f t="shared" si="31"/>
        <v>64732</v>
      </c>
      <c r="U197" s="106">
        <f t="shared" si="32"/>
        <v>0</v>
      </c>
      <c r="V197" s="26">
        <f t="shared" si="33"/>
        <v>83.27587094118253</v>
      </c>
    </row>
    <row r="198" spans="3:22" s="20" customFormat="1" ht="60" customHeight="1">
      <c r="C198" s="27"/>
      <c r="D198" s="27"/>
      <c r="E198" s="146"/>
      <c r="F198" s="28" t="s">
        <v>494</v>
      </c>
      <c r="G198" s="103"/>
      <c r="H198" s="103"/>
      <c r="I198" s="103"/>
      <c r="J198" s="25"/>
      <c r="K198" s="6"/>
      <c r="L198" s="104">
        <v>77732</v>
      </c>
      <c r="M198" s="104">
        <v>64732</v>
      </c>
      <c r="N198" s="104">
        <v>64732</v>
      </c>
      <c r="O198" s="118"/>
      <c r="P198" s="25">
        <f>N198/L198*100</f>
        <v>83.27587094118253</v>
      </c>
      <c r="Q198" s="6"/>
      <c r="R198" s="103">
        <f t="shared" si="29"/>
        <v>77732</v>
      </c>
      <c r="S198" s="103">
        <f t="shared" si="30"/>
        <v>64732</v>
      </c>
      <c r="T198" s="106">
        <f t="shared" si="31"/>
        <v>64732</v>
      </c>
      <c r="U198" s="106">
        <f t="shared" si="32"/>
        <v>0</v>
      </c>
      <c r="V198" s="26">
        <f t="shared" si="33"/>
        <v>83.27587094118253</v>
      </c>
    </row>
    <row r="199" spans="3:22" s="29" customFormat="1" ht="29.25" customHeight="1">
      <c r="C199" s="18"/>
      <c r="D199" s="18"/>
      <c r="E199" s="18"/>
      <c r="F199" s="45" t="s">
        <v>5</v>
      </c>
      <c r="G199" s="108">
        <f>G185+G188</f>
        <v>8953024</v>
      </c>
      <c r="H199" s="108">
        <f>H185+H188</f>
        <v>6856775</v>
      </c>
      <c r="I199" s="108">
        <f>I185+I188</f>
        <v>8925860.69</v>
      </c>
      <c r="J199" s="25">
        <f t="shared" si="28"/>
        <v>99.69660184089754</v>
      </c>
      <c r="K199" s="7">
        <f>K185+K188</f>
        <v>0</v>
      </c>
      <c r="L199" s="108">
        <f>L185+L188+L197</f>
        <v>340004.46</v>
      </c>
      <c r="M199" s="108">
        <f>M185+M188+M197</f>
        <v>134490.51</v>
      </c>
      <c r="N199" s="108">
        <f>N185+N188+N197</f>
        <v>300117.85</v>
      </c>
      <c r="O199" s="108">
        <f>O185+O188+O197</f>
        <v>127370</v>
      </c>
      <c r="P199" s="25">
        <f>N199/L199*100</f>
        <v>88.26879800341442</v>
      </c>
      <c r="Q199" s="7">
        <f>Q185+Q188</f>
        <v>0</v>
      </c>
      <c r="R199" s="103">
        <f t="shared" si="29"/>
        <v>9293028.46</v>
      </c>
      <c r="S199" s="103">
        <f t="shared" si="30"/>
        <v>6991265.51</v>
      </c>
      <c r="T199" s="106">
        <f t="shared" si="31"/>
        <v>9225978.54</v>
      </c>
      <c r="U199" s="106">
        <f t="shared" si="32"/>
        <v>127370</v>
      </c>
      <c r="V199" s="26">
        <f t="shared" si="33"/>
        <v>99.27849225590339</v>
      </c>
    </row>
    <row r="200" spans="3:22" s="29" customFormat="1" ht="45" customHeight="1">
      <c r="C200" s="18" t="s">
        <v>7</v>
      </c>
      <c r="D200" s="18"/>
      <c r="E200" s="18"/>
      <c r="F200" s="19" t="s">
        <v>430</v>
      </c>
      <c r="G200" s="108"/>
      <c r="H200" s="108"/>
      <c r="I200" s="108"/>
      <c r="J200" s="25"/>
      <c r="K200" s="7"/>
      <c r="L200" s="108"/>
      <c r="M200" s="108"/>
      <c r="N200" s="108"/>
      <c r="O200" s="123"/>
      <c r="P200" s="25"/>
      <c r="Q200" s="7"/>
      <c r="R200" s="103"/>
      <c r="S200" s="103"/>
      <c r="T200" s="106"/>
      <c r="U200" s="106"/>
      <c r="V200" s="26"/>
    </row>
    <row r="201" spans="3:22" s="20" customFormat="1" ht="44.25" customHeight="1">
      <c r="C201" s="21" t="s">
        <v>8</v>
      </c>
      <c r="D201" s="21"/>
      <c r="E201" s="21"/>
      <c r="F201" s="22" t="s">
        <v>369</v>
      </c>
      <c r="G201" s="104"/>
      <c r="H201" s="104"/>
      <c r="I201" s="104"/>
      <c r="J201" s="25"/>
      <c r="K201" s="6"/>
      <c r="L201" s="104"/>
      <c r="M201" s="104"/>
      <c r="N201" s="104"/>
      <c r="O201" s="118"/>
      <c r="P201" s="25"/>
      <c r="Q201" s="6"/>
      <c r="R201" s="103"/>
      <c r="S201" s="103"/>
      <c r="T201" s="106"/>
      <c r="U201" s="106"/>
      <c r="V201" s="26"/>
    </row>
    <row r="202" spans="1:22" s="17" customFormat="1" ht="43.5" customHeight="1">
      <c r="A202" s="17">
        <v>7</v>
      </c>
      <c r="B202" s="17">
        <v>47</v>
      </c>
      <c r="C202" s="23" t="s">
        <v>90</v>
      </c>
      <c r="D202" s="23" t="s">
        <v>32</v>
      </c>
      <c r="E202" s="23" t="s">
        <v>29</v>
      </c>
      <c r="F202" s="40" t="s">
        <v>98</v>
      </c>
      <c r="G202" s="103">
        <f>G203+G204</f>
        <v>2176640</v>
      </c>
      <c r="H202" s="103">
        <f>H203+H204</f>
        <v>1606828</v>
      </c>
      <c r="I202" s="103">
        <f>I203+I204</f>
        <v>2166243.89</v>
      </c>
      <c r="J202" s="25">
        <f t="shared" si="28"/>
        <v>99.52237806895032</v>
      </c>
      <c r="K202" s="1"/>
      <c r="L202" s="103">
        <f>L203+L204</f>
        <v>43000</v>
      </c>
      <c r="M202" s="103">
        <f>M203+M204</f>
        <v>0</v>
      </c>
      <c r="N202" s="103">
        <f>N203+N204</f>
        <v>42100</v>
      </c>
      <c r="O202" s="103">
        <f>O203+O204</f>
        <v>42100</v>
      </c>
      <c r="P202" s="25">
        <f>N202/L202*100</f>
        <v>97.90697674418605</v>
      </c>
      <c r="Q202" s="1"/>
      <c r="R202" s="103">
        <f t="shared" si="29"/>
        <v>2219640</v>
      </c>
      <c r="S202" s="103">
        <f t="shared" si="30"/>
        <v>1606828</v>
      </c>
      <c r="T202" s="106">
        <f t="shared" si="31"/>
        <v>2208343.89</v>
      </c>
      <c r="U202" s="106">
        <f t="shared" si="32"/>
        <v>42100</v>
      </c>
      <c r="V202" s="26">
        <f t="shared" si="33"/>
        <v>99.4910836892469</v>
      </c>
    </row>
    <row r="203" spans="3:22" s="17" customFormat="1" ht="27" customHeight="1">
      <c r="C203" s="23"/>
      <c r="D203" s="23"/>
      <c r="E203" s="23"/>
      <c r="F203" s="60" t="s">
        <v>467</v>
      </c>
      <c r="G203" s="103">
        <v>2170530</v>
      </c>
      <c r="H203" s="103">
        <v>1601828</v>
      </c>
      <c r="I203" s="103">
        <v>2160142.12</v>
      </c>
      <c r="J203" s="25">
        <f t="shared" si="28"/>
        <v>99.5214127425099</v>
      </c>
      <c r="K203" s="1"/>
      <c r="L203" s="103">
        <v>43000</v>
      </c>
      <c r="M203" s="103"/>
      <c r="N203" s="103">
        <v>42100</v>
      </c>
      <c r="O203" s="117">
        <v>42100</v>
      </c>
      <c r="P203" s="25">
        <f>N203/L203*100</f>
        <v>97.90697674418605</v>
      </c>
      <c r="Q203" s="1"/>
      <c r="R203" s="103">
        <f t="shared" si="29"/>
        <v>2213530</v>
      </c>
      <c r="S203" s="103">
        <f t="shared" si="30"/>
        <v>1601828</v>
      </c>
      <c r="T203" s="106">
        <f t="shared" si="31"/>
        <v>2202242.12</v>
      </c>
      <c r="U203" s="106">
        <f t="shared" si="32"/>
        <v>42100</v>
      </c>
      <c r="V203" s="26">
        <f t="shared" si="33"/>
        <v>99.49005073344387</v>
      </c>
    </row>
    <row r="204" spans="3:22" s="17" customFormat="1" ht="51.75" customHeight="1">
      <c r="C204" s="23"/>
      <c r="D204" s="23"/>
      <c r="E204" s="23"/>
      <c r="F204" s="90" t="s">
        <v>450</v>
      </c>
      <c r="G204" s="103">
        <v>6110</v>
      </c>
      <c r="H204" s="103">
        <v>5000</v>
      </c>
      <c r="I204" s="103">
        <v>6101.77</v>
      </c>
      <c r="J204" s="25">
        <f t="shared" si="28"/>
        <v>99.86530278232406</v>
      </c>
      <c r="K204" s="1"/>
      <c r="L204" s="103"/>
      <c r="M204" s="103"/>
      <c r="N204" s="103"/>
      <c r="O204" s="117"/>
      <c r="P204" s="25"/>
      <c r="Q204" s="1"/>
      <c r="R204" s="103">
        <f t="shared" si="29"/>
        <v>6110</v>
      </c>
      <c r="S204" s="103">
        <f t="shared" si="30"/>
        <v>5000</v>
      </c>
      <c r="T204" s="106">
        <f t="shared" si="31"/>
        <v>6101.77</v>
      </c>
      <c r="U204" s="106">
        <f t="shared" si="32"/>
        <v>0</v>
      </c>
      <c r="V204" s="26">
        <f t="shared" si="33"/>
        <v>99.86530278232406</v>
      </c>
    </row>
    <row r="205" spans="3:22" s="29" customFormat="1" ht="30" customHeight="1">
      <c r="C205" s="18"/>
      <c r="D205" s="18"/>
      <c r="E205" s="18"/>
      <c r="F205" s="19" t="s">
        <v>180</v>
      </c>
      <c r="G205" s="108">
        <f>G206</f>
        <v>7084700</v>
      </c>
      <c r="H205" s="108">
        <f>H206</f>
        <v>5761279</v>
      </c>
      <c r="I205" s="108">
        <f>I206</f>
        <v>7038286.7700000005</v>
      </c>
      <c r="J205" s="25">
        <f t="shared" si="28"/>
        <v>99.34488079946928</v>
      </c>
      <c r="K205" s="7">
        <f>K206</f>
        <v>0</v>
      </c>
      <c r="L205" s="108">
        <f>L206</f>
        <v>411556.79</v>
      </c>
      <c r="M205" s="108">
        <f>M206</f>
        <v>382410</v>
      </c>
      <c r="N205" s="108">
        <f>N206</f>
        <v>350955.75</v>
      </c>
      <c r="O205" s="108">
        <f>O206</f>
        <v>28656</v>
      </c>
      <c r="P205" s="25">
        <f>N205/L205*100</f>
        <v>85.27516943651932</v>
      </c>
      <c r="Q205" s="7">
        <f>Q206</f>
        <v>0</v>
      </c>
      <c r="R205" s="103">
        <f t="shared" si="29"/>
        <v>7496256.79</v>
      </c>
      <c r="S205" s="103">
        <f t="shared" si="30"/>
        <v>6143689</v>
      </c>
      <c r="T205" s="106">
        <f t="shared" si="31"/>
        <v>7389242.5200000005</v>
      </c>
      <c r="U205" s="106">
        <f t="shared" si="32"/>
        <v>28656</v>
      </c>
      <c r="V205" s="26">
        <f t="shared" si="33"/>
        <v>98.57243057438005</v>
      </c>
    </row>
    <row r="206" spans="1:22" s="17" customFormat="1" ht="54" customHeight="1">
      <c r="A206" s="17">
        <v>3</v>
      </c>
      <c r="B206" s="17">
        <v>50</v>
      </c>
      <c r="C206" s="23" t="s">
        <v>170</v>
      </c>
      <c r="D206" s="23" t="s">
        <v>208</v>
      </c>
      <c r="E206" s="23" t="s">
        <v>38</v>
      </c>
      <c r="F206" s="24" t="s">
        <v>171</v>
      </c>
      <c r="G206" s="103">
        <f>G207+G208</f>
        <v>7084700</v>
      </c>
      <c r="H206" s="103">
        <f>H207+H208</f>
        <v>5761279</v>
      </c>
      <c r="I206" s="103">
        <f>I207+I208</f>
        <v>7038286.7700000005</v>
      </c>
      <c r="J206" s="25">
        <f t="shared" si="28"/>
        <v>99.34488079946928</v>
      </c>
      <c r="K206" s="1"/>
      <c r="L206" s="103">
        <f>L207</f>
        <v>411556.79</v>
      </c>
      <c r="M206" s="103">
        <f>M207</f>
        <v>382410</v>
      </c>
      <c r="N206" s="103">
        <f>N207</f>
        <v>350955.75</v>
      </c>
      <c r="O206" s="103">
        <f>O207</f>
        <v>28656</v>
      </c>
      <c r="P206" s="25">
        <f>N206/L206*100</f>
        <v>85.27516943651932</v>
      </c>
      <c r="Q206" s="1"/>
      <c r="R206" s="103">
        <f t="shared" si="29"/>
        <v>7496256.79</v>
      </c>
      <c r="S206" s="103">
        <f t="shared" si="30"/>
        <v>6143689</v>
      </c>
      <c r="T206" s="106">
        <f t="shared" si="31"/>
        <v>7389242.5200000005</v>
      </c>
      <c r="U206" s="106">
        <f t="shared" si="32"/>
        <v>28656</v>
      </c>
      <c r="V206" s="26">
        <f t="shared" si="33"/>
        <v>98.57243057438005</v>
      </c>
    </row>
    <row r="207" spans="3:22" s="17" customFormat="1" ht="21.75" customHeight="1">
      <c r="C207" s="23"/>
      <c r="D207" s="23"/>
      <c r="E207" s="23"/>
      <c r="F207" s="89" t="s">
        <v>444</v>
      </c>
      <c r="G207" s="103">
        <v>7060400</v>
      </c>
      <c r="H207" s="103">
        <v>5751779</v>
      </c>
      <c r="I207" s="103">
        <v>7013997.07</v>
      </c>
      <c r="J207" s="25">
        <f t="shared" si="28"/>
        <v>99.34277193926691</v>
      </c>
      <c r="K207" s="1"/>
      <c r="L207" s="103">
        <f>28700+381510+1346.79</f>
        <v>411556.79</v>
      </c>
      <c r="M207" s="103">
        <v>382410</v>
      </c>
      <c r="N207" s="103">
        <v>350955.75</v>
      </c>
      <c r="O207" s="117">
        <v>28656</v>
      </c>
      <c r="P207" s="25">
        <f>N207/L207*100</f>
        <v>85.27516943651932</v>
      </c>
      <c r="Q207" s="1"/>
      <c r="R207" s="103">
        <f t="shared" si="29"/>
        <v>7471956.79</v>
      </c>
      <c r="S207" s="103">
        <f t="shared" si="30"/>
        <v>6134189</v>
      </c>
      <c r="T207" s="106">
        <f t="shared" si="31"/>
        <v>7364952.82</v>
      </c>
      <c r="U207" s="106">
        <f t="shared" si="32"/>
        <v>28656</v>
      </c>
      <c r="V207" s="26">
        <f t="shared" si="33"/>
        <v>98.56792573876756</v>
      </c>
    </row>
    <row r="208" spans="3:22" s="17" customFormat="1" ht="63.75" customHeight="1">
      <c r="C208" s="23"/>
      <c r="D208" s="23"/>
      <c r="E208" s="23"/>
      <c r="F208" s="90" t="s">
        <v>450</v>
      </c>
      <c r="G208" s="103">
        <v>24300</v>
      </c>
      <c r="H208" s="103">
        <v>9500</v>
      </c>
      <c r="I208" s="103">
        <v>24289.7</v>
      </c>
      <c r="J208" s="25">
        <f t="shared" si="28"/>
        <v>99.95761316872428</v>
      </c>
      <c r="K208" s="1"/>
      <c r="L208" s="103"/>
      <c r="M208" s="103"/>
      <c r="N208" s="103"/>
      <c r="O208" s="117"/>
      <c r="P208" s="25"/>
      <c r="Q208" s="1"/>
      <c r="R208" s="103">
        <f t="shared" si="29"/>
        <v>24300</v>
      </c>
      <c r="S208" s="103">
        <f t="shared" si="30"/>
        <v>9500</v>
      </c>
      <c r="T208" s="106">
        <f t="shared" si="31"/>
        <v>24289.7</v>
      </c>
      <c r="U208" s="106">
        <f t="shared" si="32"/>
        <v>0</v>
      </c>
      <c r="V208" s="26">
        <f t="shared" si="33"/>
        <v>99.95761316872428</v>
      </c>
    </row>
    <row r="209" spans="3:22" s="20" customFormat="1" ht="27.75" customHeight="1">
      <c r="C209" s="18"/>
      <c r="D209" s="18"/>
      <c r="E209" s="18"/>
      <c r="F209" s="19" t="s">
        <v>183</v>
      </c>
      <c r="G209" s="108">
        <f aca="true" t="shared" si="40" ref="G209:I210">G210</f>
        <v>124000</v>
      </c>
      <c r="H209" s="108">
        <f t="shared" si="40"/>
        <v>58000</v>
      </c>
      <c r="I209" s="108">
        <f t="shared" si="40"/>
        <v>122274.24</v>
      </c>
      <c r="J209" s="25">
        <f t="shared" si="28"/>
        <v>98.60825806451614</v>
      </c>
      <c r="K209" s="7">
        <f>K210</f>
        <v>0</v>
      </c>
      <c r="L209" s="108">
        <f>L210</f>
        <v>0</v>
      </c>
      <c r="M209" s="108">
        <f>M210</f>
        <v>0</v>
      </c>
      <c r="N209" s="108">
        <f>N210</f>
        <v>0</v>
      </c>
      <c r="O209" s="108">
        <f>O210</f>
        <v>0</v>
      </c>
      <c r="P209" s="25"/>
      <c r="Q209" s="7">
        <f>Q210</f>
        <v>0</v>
      </c>
      <c r="R209" s="103">
        <f t="shared" si="29"/>
        <v>124000</v>
      </c>
      <c r="S209" s="103">
        <f t="shared" si="30"/>
        <v>58000</v>
      </c>
      <c r="T209" s="106">
        <f t="shared" si="31"/>
        <v>122274.24</v>
      </c>
      <c r="U209" s="106">
        <f t="shared" si="32"/>
        <v>0</v>
      </c>
      <c r="V209" s="26">
        <f t="shared" si="33"/>
        <v>98.60825806451614</v>
      </c>
    </row>
    <row r="210" spans="3:22" s="17" customFormat="1" ht="30" customHeight="1">
      <c r="C210" s="23" t="s">
        <v>161</v>
      </c>
      <c r="D210" s="23" t="s">
        <v>160</v>
      </c>
      <c r="E210" s="23" t="s">
        <v>42</v>
      </c>
      <c r="F210" s="40" t="s">
        <v>158</v>
      </c>
      <c r="G210" s="103">
        <f t="shared" si="40"/>
        <v>124000</v>
      </c>
      <c r="H210" s="103">
        <f t="shared" si="40"/>
        <v>58000</v>
      </c>
      <c r="I210" s="103">
        <f t="shared" si="40"/>
        <v>122274.24</v>
      </c>
      <c r="J210" s="25">
        <f t="shared" si="28"/>
        <v>98.60825806451614</v>
      </c>
      <c r="K210" s="1">
        <f>K211</f>
        <v>0</v>
      </c>
      <c r="L210" s="103"/>
      <c r="M210" s="103"/>
      <c r="N210" s="103"/>
      <c r="O210" s="117"/>
      <c r="P210" s="25"/>
      <c r="Q210" s="1">
        <f>Q211</f>
        <v>0</v>
      </c>
      <c r="R210" s="103">
        <f t="shared" si="29"/>
        <v>124000</v>
      </c>
      <c r="S210" s="103">
        <f t="shared" si="30"/>
        <v>58000</v>
      </c>
      <c r="T210" s="106">
        <f t="shared" si="31"/>
        <v>122274.24</v>
      </c>
      <c r="U210" s="106">
        <f t="shared" si="32"/>
        <v>0</v>
      </c>
      <c r="V210" s="26">
        <f t="shared" si="33"/>
        <v>98.60825806451614</v>
      </c>
    </row>
    <row r="211" spans="3:22" s="20" customFormat="1" ht="42" customHeight="1">
      <c r="C211" s="27"/>
      <c r="D211" s="27"/>
      <c r="E211" s="27"/>
      <c r="F211" s="28" t="s">
        <v>159</v>
      </c>
      <c r="G211" s="103">
        <v>124000</v>
      </c>
      <c r="H211" s="103">
        <v>58000</v>
      </c>
      <c r="I211" s="103">
        <v>122274.24</v>
      </c>
      <c r="J211" s="25">
        <f t="shared" si="28"/>
        <v>98.60825806451614</v>
      </c>
      <c r="K211" s="6"/>
      <c r="L211" s="104"/>
      <c r="M211" s="104"/>
      <c r="N211" s="120"/>
      <c r="O211" s="118"/>
      <c r="P211" s="25"/>
      <c r="Q211" s="6"/>
      <c r="R211" s="103">
        <f t="shared" si="29"/>
        <v>124000</v>
      </c>
      <c r="S211" s="103">
        <f t="shared" si="30"/>
        <v>58000</v>
      </c>
      <c r="T211" s="106">
        <f t="shared" si="31"/>
        <v>122274.24</v>
      </c>
      <c r="U211" s="106">
        <f t="shared" si="32"/>
        <v>0</v>
      </c>
      <c r="V211" s="26">
        <f t="shared" si="33"/>
        <v>98.60825806451614</v>
      </c>
    </row>
    <row r="212" spans="3:22" s="29" customFormat="1" ht="27" customHeight="1">
      <c r="C212" s="18"/>
      <c r="D212" s="18"/>
      <c r="E212" s="18"/>
      <c r="F212" s="38" t="s">
        <v>163</v>
      </c>
      <c r="G212" s="108">
        <f>G213+G216+G220+G223+G226</f>
        <v>5323769</v>
      </c>
      <c r="H212" s="108">
        <f>H213+H216+H220+H223+H226</f>
        <v>4368386</v>
      </c>
      <c r="I212" s="108">
        <f>I213+I216+I220+I223+I226</f>
        <v>5269747.71</v>
      </c>
      <c r="J212" s="25">
        <f t="shared" si="28"/>
        <v>98.98528110442058</v>
      </c>
      <c r="K212" s="7">
        <f>SUM(K213:K226)</f>
        <v>0</v>
      </c>
      <c r="L212" s="108">
        <f>L213+L216+L220+L223+L226</f>
        <v>829930.19</v>
      </c>
      <c r="M212" s="108">
        <f>M213+M216+M220+M223+M226</f>
        <v>90127.91</v>
      </c>
      <c r="N212" s="108">
        <f>N213+N216+N220+N223+N226</f>
        <v>828071.09</v>
      </c>
      <c r="O212" s="108">
        <f>O213+O216+O220+O223+O226</f>
        <v>749311.9</v>
      </c>
      <c r="P212" s="25">
        <f>N212/L212*100</f>
        <v>99.77599320733229</v>
      </c>
      <c r="Q212" s="7">
        <f>SUM(Q213:Q226)</f>
        <v>0</v>
      </c>
      <c r="R212" s="103">
        <f t="shared" si="29"/>
        <v>6153699.1899999995</v>
      </c>
      <c r="S212" s="103">
        <f t="shared" si="30"/>
        <v>4458513.91</v>
      </c>
      <c r="T212" s="106">
        <f t="shared" si="31"/>
        <v>6097818.8</v>
      </c>
      <c r="U212" s="106">
        <f t="shared" si="32"/>
        <v>749311.9</v>
      </c>
      <c r="V212" s="26">
        <f t="shared" si="33"/>
        <v>99.09192197612117</v>
      </c>
    </row>
    <row r="213" spans="1:22" s="17" customFormat="1" ht="24" customHeight="1">
      <c r="A213" s="17">
        <v>1</v>
      </c>
      <c r="B213" s="17">
        <v>48</v>
      </c>
      <c r="C213" s="23" t="s">
        <v>165</v>
      </c>
      <c r="D213" s="23" t="s">
        <v>166</v>
      </c>
      <c r="E213" s="23" t="s">
        <v>60</v>
      </c>
      <c r="F213" s="24" t="s">
        <v>164</v>
      </c>
      <c r="G213" s="103">
        <f>G214+G215</f>
        <v>1331704</v>
      </c>
      <c r="H213" s="103">
        <f>H214+H215</f>
        <v>994161</v>
      </c>
      <c r="I213" s="103">
        <f>I214+I215</f>
        <v>1317524.03</v>
      </c>
      <c r="J213" s="25">
        <f t="shared" si="28"/>
        <v>98.93520106570229</v>
      </c>
      <c r="K213" s="1"/>
      <c r="L213" s="103">
        <f>L214+L215</f>
        <v>154459.19</v>
      </c>
      <c r="M213" s="103">
        <f>M214+M215</f>
        <v>75127.91</v>
      </c>
      <c r="N213" s="103">
        <f>N214+N215</f>
        <v>154057.09</v>
      </c>
      <c r="O213" s="103">
        <f>O214+O215</f>
        <v>75297.9</v>
      </c>
      <c r="P213" s="25">
        <f>N213/L213*100</f>
        <v>99.73967233675121</v>
      </c>
      <c r="Q213" s="1"/>
      <c r="R213" s="103">
        <f t="shared" si="29"/>
        <v>1486163.19</v>
      </c>
      <c r="S213" s="103">
        <f t="shared" si="30"/>
        <v>1069288.91</v>
      </c>
      <c r="T213" s="106">
        <f t="shared" si="31"/>
        <v>1471581.12</v>
      </c>
      <c r="U213" s="106">
        <f t="shared" si="32"/>
        <v>75297.9</v>
      </c>
      <c r="V213" s="26">
        <f t="shared" si="33"/>
        <v>99.01881098266202</v>
      </c>
    </row>
    <row r="214" spans="3:22" s="17" customFormat="1" ht="24" customHeight="1">
      <c r="C214" s="23"/>
      <c r="D214" s="23"/>
      <c r="E214" s="23"/>
      <c r="F214" s="60" t="s">
        <v>469</v>
      </c>
      <c r="G214" s="103">
        <v>1310100</v>
      </c>
      <c r="H214" s="103">
        <v>987661</v>
      </c>
      <c r="I214" s="103">
        <v>1295923.35</v>
      </c>
      <c r="J214" s="25">
        <f t="shared" si="28"/>
        <v>98.91789558049004</v>
      </c>
      <c r="K214" s="1"/>
      <c r="L214" s="103">
        <f>75700+78759.19</f>
        <v>154459.19</v>
      </c>
      <c r="M214" s="103">
        <v>75127.91</v>
      </c>
      <c r="N214" s="103">
        <v>154057.09</v>
      </c>
      <c r="O214" s="117">
        <v>75297.9</v>
      </c>
      <c r="P214" s="25">
        <f>N214/L214*100</f>
        <v>99.73967233675121</v>
      </c>
      <c r="Q214" s="1"/>
      <c r="R214" s="103">
        <f t="shared" si="29"/>
        <v>1464559.19</v>
      </c>
      <c r="S214" s="103">
        <f t="shared" si="30"/>
        <v>1062788.91</v>
      </c>
      <c r="T214" s="106">
        <f t="shared" si="31"/>
        <v>1449980.4400000002</v>
      </c>
      <c r="U214" s="106">
        <f t="shared" si="32"/>
        <v>75297.9</v>
      </c>
      <c r="V214" s="26">
        <f t="shared" si="33"/>
        <v>99.0045639602999</v>
      </c>
    </row>
    <row r="215" spans="3:22" s="17" customFormat="1" ht="63" customHeight="1">
      <c r="C215" s="23"/>
      <c r="D215" s="23"/>
      <c r="E215" s="23"/>
      <c r="F215" s="90" t="s">
        <v>450</v>
      </c>
      <c r="G215" s="103">
        <v>21604</v>
      </c>
      <c r="H215" s="103">
        <v>6500</v>
      </c>
      <c r="I215" s="103">
        <v>21600.68</v>
      </c>
      <c r="J215" s="25">
        <f t="shared" si="28"/>
        <v>99.9846324754675</v>
      </c>
      <c r="K215" s="1"/>
      <c r="L215" s="103"/>
      <c r="M215" s="103"/>
      <c r="N215" s="103"/>
      <c r="O215" s="117"/>
      <c r="P215" s="25"/>
      <c r="Q215" s="1"/>
      <c r="R215" s="103">
        <f t="shared" si="29"/>
        <v>21604</v>
      </c>
      <c r="S215" s="103">
        <f t="shared" si="30"/>
        <v>6500</v>
      </c>
      <c r="T215" s="106">
        <f t="shared" si="31"/>
        <v>21600.68</v>
      </c>
      <c r="U215" s="106">
        <f t="shared" si="32"/>
        <v>0</v>
      </c>
      <c r="V215" s="26">
        <f t="shared" si="33"/>
        <v>99.9846324754675</v>
      </c>
    </row>
    <row r="216" spans="1:22" s="17" customFormat="1" ht="29.25" customHeight="1">
      <c r="A216" s="17">
        <v>2</v>
      </c>
      <c r="B216" s="17">
        <v>49</v>
      </c>
      <c r="C216" s="23" t="s">
        <v>168</v>
      </c>
      <c r="D216" s="23" t="s">
        <v>169</v>
      </c>
      <c r="E216" s="23" t="s">
        <v>60</v>
      </c>
      <c r="F216" s="40" t="s">
        <v>167</v>
      </c>
      <c r="G216" s="103">
        <f>G217+G218+G219</f>
        <v>926508</v>
      </c>
      <c r="H216" s="103">
        <f>H217+H218+H219</f>
        <v>717298</v>
      </c>
      <c r="I216" s="103">
        <f>I217+I218+I219</f>
        <v>908316.11</v>
      </c>
      <c r="J216" s="25">
        <f t="shared" si="28"/>
        <v>98.03651020822271</v>
      </c>
      <c r="K216" s="1"/>
      <c r="L216" s="103">
        <f>L217+L218</f>
        <v>35000</v>
      </c>
      <c r="M216" s="103">
        <f>M217+M218</f>
        <v>0</v>
      </c>
      <c r="N216" s="103">
        <f>N217+N218</f>
        <v>35000</v>
      </c>
      <c r="O216" s="103">
        <f>O217+O218</f>
        <v>35000</v>
      </c>
      <c r="P216" s="25">
        <f>N216/L216*100</f>
        <v>100</v>
      </c>
      <c r="Q216" s="1"/>
      <c r="R216" s="103">
        <f t="shared" si="29"/>
        <v>961508</v>
      </c>
      <c r="S216" s="103">
        <f t="shared" si="30"/>
        <v>717298</v>
      </c>
      <c r="T216" s="106">
        <f t="shared" si="31"/>
        <v>943316.11</v>
      </c>
      <c r="U216" s="106">
        <f t="shared" si="32"/>
        <v>35000</v>
      </c>
      <c r="V216" s="26">
        <f t="shared" si="33"/>
        <v>98.1079835009173</v>
      </c>
    </row>
    <row r="217" spans="3:22" s="17" customFormat="1" ht="28.5" customHeight="1">
      <c r="C217" s="23"/>
      <c r="D217" s="23"/>
      <c r="E217" s="23"/>
      <c r="F217" s="60" t="s">
        <v>468</v>
      </c>
      <c r="G217" s="103">
        <v>912200</v>
      </c>
      <c r="H217" s="103">
        <v>709998</v>
      </c>
      <c r="I217" s="103">
        <v>894008.23</v>
      </c>
      <c r="J217" s="25">
        <f t="shared" si="28"/>
        <v>98.00572571804429</v>
      </c>
      <c r="K217" s="1"/>
      <c r="L217" s="103">
        <v>35000</v>
      </c>
      <c r="M217" s="103"/>
      <c r="N217" s="103">
        <v>35000</v>
      </c>
      <c r="O217" s="117">
        <f>N217</f>
        <v>35000</v>
      </c>
      <c r="P217" s="25">
        <f>N217/L217*100</f>
        <v>100</v>
      </c>
      <c r="Q217" s="1"/>
      <c r="R217" s="103">
        <f t="shared" si="29"/>
        <v>947200</v>
      </c>
      <c r="S217" s="103">
        <f t="shared" si="30"/>
        <v>709998</v>
      </c>
      <c r="T217" s="106">
        <f t="shared" si="31"/>
        <v>929008.23</v>
      </c>
      <c r="U217" s="106">
        <f t="shared" si="32"/>
        <v>35000</v>
      </c>
      <c r="V217" s="26">
        <f t="shared" si="33"/>
        <v>98.07941617398649</v>
      </c>
    </row>
    <row r="218" spans="3:22" s="17" customFormat="1" ht="57" customHeight="1">
      <c r="C218" s="23"/>
      <c r="D218" s="23"/>
      <c r="E218" s="23"/>
      <c r="F218" s="90" t="s">
        <v>450</v>
      </c>
      <c r="G218" s="103">
        <v>11808</v>
      </c>
      <c r="H218" s="103">
        <v>4800</v>
      </c>
      <c r="I218" s="103">
        <v>11807.88</v>
      </c>
      <c r="J218" s="25">
        <f t="shared" si="28"/>
        <v>99.99898373983739</v>
      </c>
      <c r="K218" s="1"/>
      <c r="L218" s="103"/>
      <c r="M218" s="103"/>
      <c r="N218" s="103"/>
      <c r="O218" s="117"/>
      <c r="P218" s="25"/>
      <c r="Q218" s="1"/>
      <c r="R218" s="103">
        <f t="shared" si="29"/>
        <v>11808</v>
      </c>
      <c r="S218" s="103">
        <f t="shared" si="30"/>
        <v>4800</v>
      </c>
      <c r="T218" s="106">
        <f t="shared" si="31"/>
        <v>11807.88</v>
      </c>
      <c r="U218" s="106">
        <f t="shared" si="32"/>
        <v>0</v>
      </c>
      <c r="V218" s="26">
        <f t="shared" si="33"/>
        <v>99.99898373983739</v>
      </c>
    </row>
    <row r="219" spans="3:22" s="17" customFormat="1" ht="30.75">
      <c r="C219" s="23"/>
      <c r="D219" s="23"/>
      <c r="E219" s="23"/>
      <c r="F219" s="90" t="s">
        <v>340</v>
      </c>
      <c r="G219" s="103">
        <v>2500</v>
      </c>
      <c r="H219" s="103">
        <v>2500</v>
      </c>
      <c r="I219" s="103">
        <v>2500</v>
      </c>
      <c r="J219" s="25">
        <f t="shared" si="28"/>
        <v>100</v>
      </c>
      <c r="K219" s="1"/>
      <c r="L219" s="103"/>
      <c r="M219" s="103"/>
      <c r="N219" s="103"/>
      <c r="O219" s="117"/>
      <c r="P219" s="25"/>
      <c r="Q219" s="1"/>
      <c r="R219" s="103">
        <f t="shared" si="29"/>
        <v>2500</v>
      </c>
      <c r="S219" s="103">
        <f t="shared" si="30"/>
        <v>2500</v>
      </c>
      <c r="T219" s="106">
        <f t="shared" si="31"/>
        <v>2500</v>
      </c>
      <c r="U219" s="106"/>
      <c r="V219" s="26">
        <f t="shared" si="33"/>
        <v>100</v>
      </c>
    </row>
    <row r="220" spans="3:22" s="17" customFormat="1" ht="42" customHeight="1">
      <c r="C220" s="23" t="s">
        <v>162</v>
      </c>
      <c r="D220" s="23" t="s">
        <v>59</v>
      </c>
      <c r="E220" s="23" t="s">
        <v>61</v>
      </c>
      <c r="F220" s="40" t="s">
        <v>345</v>
      </c>
      <c r="G220" s="103">
        <f>G221+G222</f>
        <v>1313938</v>
      </c>
      <c r="H220" s="103">
        <f>H221+H222</f>
        <v>1114666</v>
      </c>
      <c r="I220" s="103">
        <f>I221+I222</f>
        <v>1295521.98</v>
      </c>
      <c r="J220" s="25">
        <f aca="true" t="shared" si="41" ref="J220:J283">I220/G220*100</f>
        <v>98.59841027506626</v>
      </c>
      <c r="K220" s="1"/>
      <c r="L220" s="103">
        <f>L221+L222</f>
        <v>429500</v>
      </c>
      <c r="M220" s="103">
        <f>M221+M222</f>
        <v>0</v>
      </c>
      <c r="N220" s="103">
        <f>N221+N222</f>
        <v>428213</v>
      </c>
      <c r="O220" s="103">
        <f>O221+O222</f>
        <v>428213</v>
      </c>
      <c r="P220" s="25">
        <f>N220/L220*100</f>
        <v>99.70034924330618</v>
      </c>
      <c r="Q220" s="1"/>
      <c r="R220" s="103">
        <f aca="true" t="shared" si="42" ref="R220:R283">G220+L220</f>
        <v>1743438</v>
      </c>
      <c r="S220" s="103">
        <f aca="true" t="shared" si="43" ref="S220:S283">H220+M220</f>
        <v>1114666</v>
      </c>
      <c r="T220" s="106">
        <f aca="true" t="shared" si="44" ref="T220:T283">I220+N220</f>
        <v>1723734.98</v>
      </c>
      <c r="U220" s="106">
        <f aca="true" t="shared" si="45" ref="U220:U283">O220</f>
        <v>428213</v>
      </c>
      <c r="V220" s="26">
        <f aca="true" t="shared" si="46" ref="V220:V283">T220/R220*100</f>
        <v>98.86987549887061</v>
      </c>
    </row>
    <row r="221" spans="3:22" s="17" customFormat="1" ht="45.75" customHeight="1">
      <c r="C221" s="23"/>
      <c r="D221" s="23"/>
      <c r="E221" s="23"/>
      <c r="F221" s="60" t="s">
        <v>470</v>
      </c>
      <c r="G221" s="103">
        <v>1298600</v>
      </c>
      <c r="H221" s="103">
        <v>1108666</v>
      </c>
      <c r="I221" s="103">
        <v>1280185.92</v>
      </c>
      <c r="J221" s="25">
        <f t="shared" si="41"/>
        <v>98.58200523640843</v>
      </c>
      <c r="K221" s="1"/>
      <c r="L221" s="103">
        <v>429500</v>
      </c>
      <c r="M221" s="103"/>
      <c r="N221" s="103">
        <v>428213</v>
      </c>
      <c r="O221" s="117">
        <f>N221</f>
        <v>428213</v>
      </c>
      <c r="P221" s="25">
        <f>N221/L221*100</f>
        <v>99.70034924330618</v>
      </c>
      <c r="Q221" s="1"/>
      <c r="R221" s="103">
        <f t="shared" si="42"/>
        <v>1728100</v>
      </c>
      <c r="S221" s="103">
        <f t="shared" si="43"/>
        <v>1108666</v>
      </c>
      <c r="T221" s="106">
        <f t="shared" si="44"/>
        <v>1708398.92</v>
      </c>
      <c r="U221" s="106">
        <f t="shared" si="45"/>
        <v>428213</v>
      </c>
      <c r="V221" s="26">
        <f t="shared" si="46"/>
        <v>98.85995717840402</v>
      </c>
    </row>
    <row r="222" spans="3:22" s="17" customFormat="1" ht="54.75" customHeight="1">
      <c r="C222" s="23"/>
      <c r="D222" s="23"/>
      <c r="E222" s="23"/>
      <c r="F222" s="90" t="s">
        <v>450</v>
      </c>
      <c r="G222" s="103">
        <v>15338</v>
      </c>
      <c r="H222" s="103">
        <v>6000</v>
      </c>
      <c r="I222" s="103">
        <v>15336.06</v>
      </c>
      <c r="J222" s="25">
        <f t="shared" si="41"/>
        <v>99.987351675577</v>
      </c>
      <c r="K222" s="1"/>
      <c r="L222" s="103"/>
      <c r="M222" s="103"/>
      <c r="N222" s="103"/>
      <c r="O222" s="117"/>
      <c r="P222" s="25"/>
      <c r="Q222" s="1"/>
      <c r="R222" s="103">
        <f t="shared" si="42"/>
        <v>15338</v>
      </c>
      <c r="S222" s="103">
        <f t="shared" si="43"/>
        <v>6000</v>
      </c>
      <c r="T222" s="106">
        <f t="shared" si="44"/>
        <v>15336.06</v>
      </c>
      <c r="U222" s="106">
        <f t="shared" si="45"/>
        <v>0</v>
      </c>
      <c r="V222" s="26">
        <f t="shared" si="46"/>
        <v>99.987351675577</v>
      </c>
    </row>
    <row r="223" spans="3:22" s="17" customFormat="1" ht="30.75">
      <c r="C223" s="41" t="s">
        <v>262</v>
      </c>
      <c r="D223" s="41" t="s">
        <v>263</v>
      </c>
      <c r="E223" s="41" t="s">
        <v>62</v>
      </c>
      <c r="F223" s="24" t="s">
        <v>264</v>
      </c>
      <c r="G223" s="103">
        <f>G224+G225</f>
        <v>1134290</v>
      </c>
      <c r="H223" s="103">
        <f>H224+H225</f>
        <v>898531</v>
      </c>
      <c r="I223" s="103">
        <f>I224+I225</f>
        <v>1131275.75</v>
      </c>
      <c r="J223" s="25">
        <f t="shared" si="41"/>
        <v>99.7342610796181</v>
      </c>
      <c r="K223" s="1"/>
      <c r="L223" s="103">
        <f>L224+L225</f>
        <v>15500</v>
      </c>
      <c r="M223" s="103">
        <f>M224+M225</f>
        <v>0</v>
      </c>
      <c r="N223" s="103">
        <f>N224+N225</f>
        <v>15500</v>
      </c>
      <c r="O223" s="103">
        <f>O224+O225</f>
        <v>15500</v>
      </c>
      <c r="P223" s="25">
        <f>N223/L223*100</f>
        <v>100</v>
      </c>
      <c r="Q223" s="1"/>
      <c r="R223" s="103">
        <f t="shared" si="42"/>
        <v>1149790</v>
      </c>
      <c r="S223" s="103">
        <f t="shared" si="43"/>
        <v>898531</v>
      </c>
      <c r="T223" s="106">
        <f t="shared" si="44"/>
        <v>1146775.75</v>
      </c>
      <c r="U223" s="106">
        <f t="shared" si="45"/>
        <v>15500</v>
      </c>
      <c r="V223" s="26">
        <f t="shared" si="46"/>
        <v>99.73784343227894</v>
      </c>
    </row>
    <row r="224" spans="3:22" s="17" customFormat="1" ht="42" customHeight="1">
      <c r="C224" s="41"/>
      <c r="D224" s="41"/>
      <c r="E224" s="41"/>
      <c r="F224" s="60" t="s">
        <v>471</v>
      </c>
      <c r="G224" s="103">
        <v>1128600</v>
      </c>
      <c r="H224" s="103">
        <v>894531</v>
      </c>
      <c r="I224" s="103">
        <v>1125587.79</v>
      </c>
      <c r="J224" s="25">
        <f t="shared" si="41"/>
        <v>99.73310207336523</v>
      </c>
      <c r="K224" s="1"/>
      <c r="L224" s="103">
        <v>15500</v>
      </c>
      <c r="M224" s="103"/>
      <c r="N224" s="103">
        <v>15500</v>
      </c>
      <c r="O224" s="117">
        <f>N224</f>
        <v>15500</v>
      </c>
      <c r="P224" s="25">
        <f>N224/L224*100</f>
        <v>100</v>
      </c>
      <c r="Q224" s="1"/>
      <c r="R224" s="103">
        <f t="shared" si="42"/>
        <v>1144100</v>
      </c>
      <c r="S224" s="103">
        <f t="shared" si="43"/>
        <v>894531</v>
      </c>
      <c r="T224" s="106">
        <f t="shared" si="44"/>
        <v>1141087.79</v>
      </c>
      <c r="U224" s="106">
        <f t="shared" si="45"/>
        <v>15500</v>
      </c>
      <c r="V224" s="26">
        <f t="shared" si="46"/>
        <v>99.73671794423564</v>
      </c>
    </row>
    <row r="225" spans="3:22" s="17" customFormat="1" ht="51" customHeight="1">
      <c r="C225" s="41"/>
      <c r="D225" s="41"/>
      <c r="E225" s="41"/>
      <c r="F225" s="90" t="s">
        <v>450</v>
      </c>
      <c r="G225" s="103">
        <v>5690</v>
      </c>
      <c r="H225" s="103">
        <v>4000</v>
      </c>
      <c r="I225" s="103">
        <v>5687.96</v>
      </c>
      <c r="J225" s="25">
        <f t="shared" si="41"/>
        <v>99.96414762741652</v>
      </c>
      <c r="K225" s="1"/>
      <c r="L225" s="103"/>
      <c r="M225" s="103"/>
      <c r="N225" s="103"/>
      <c r="O225" s="117"/>
      <c r="P225" s="25"/>
      <c r="Q225" s="1"/>
      <c r="R225" s="103">
        <f t="shared" si="42"/>
        <v>5690</v>
      </c>
      <c r="S225" s="103">
        <f t="shared" si="43"/>
        <v>4000</v>
      </c>
      <c r="T225" s="106">
        <f t="shared" si="44"/>
        <v>5687.96</v>
      </c>
      <c r="U225" s="106">
        <f t="shared" si="45"/>
        <v>0</v>
      </c>
      <c r="V225" s="26">
        <f t="shared" si="46"/>
        <v>99.96414762741652</v>
      </c>
    </row>
    <row r="226" spans="3:22" s="17" customFormat="1" ht="26.25" customHeight="1">
      <c r="C226" s="41" t="s">
        <v>266</v>
      </c>
      <c r="D226" s="41" t="s">
        <v>267</v>
      </c>
      <c r="E226" s="41" t="s">
        <v>62</v>
      </c>
      <c r="F226" s="24" t="s">
        <v>265</v>
      </c>
      <c r="G226" s="103">
        <f>SUM(G227:G228)</f>
        <v>617329</v>
      </c>
      <c r="H226" s="103">
        <f>SUM(H227:H228)</f>
        <v>643730</v>
      </c>
      <c r="I226" s="103">
        <f>SUM(I227:I228)</f>
        <v>617109.8400000001</v>
      </c>
      <c r="J226" s="25">
        <f t="shared" si="41"/>
        <v>99.96449867088701</v>
      </c>
      <c r="K226" s="1">
        <f>SUM(K227:K228)</f>
        <v>0</v>
      </c>
      <c r="L226" s="103">
        <f>SUM(L227:L228)</f>
        <v>195471</v>
      </c>
      <c r="M226" s="103">
        <f>SUM(M227:M228)</f>
        <v>15000</v>
      </c>
      <c r="N226" s="103">
        <f>SUM(N227:N228)</f>
        <v>195301</v>
      </c>
      <c r="O226" s="117">
        <f>SUM(O227:O228)</f>
        <v>195301</v>
      </c>
      <c r="P226" s="25">
        <f>N226/L226*100</f>
        <v>99.91303057742581</v>
      </c>
      <c r="Q226" s="1">
        <f>SUM(Q227:Q228)</f>
        <v>0</v>
      </c>
      <c r="R226" s="103">
        <f t="shared" si="42"/>
        <v>812800</v>
      </c>
      <c r="S226" s="103">
        <f t="shared" si="43"/>
        <v>658730</v>
      </c>
      <c r="T226" s="106">
        <f t="shared" si="44"/>
        <v>812410.8400000001</v>
      </c>
      <c r="U226" s="106">
        <f t="shared" si="45"/>
        <v>195301</v>
      </c>
      <c r="V226" s="26">
        <f t="shared" si="46"/>
        <v>99.95212106299213</v>
      </c>
    </row>
    <row r="227" spans="3:22" s="20" customFormat="1" ht="42" customHeight="1">
      <c r="C227" s="50"/>
      <c r="D227" s="50"/>
      <c r="E227" s="50"/>
      <c r="F227" s="28" t="s">
        <v>393</v>
      </c>
      <c r="G227" s="103">
        <v>555754</v>
      </c>
      <c r="H227" s="103">
        <v>595610</v>
      </c>
      <c r="I227" s="103">
        <v>555539.28</v>
      </c>
      <c r="J227" s="25">
        <f t="shared" si="41"/>
        <v>99.96136420070752</v>
      </c>
      <c r="K227" s="6"/>
      <c r="L227" s="103">
        <v>168246</v>
      </c>
      <c r="M227" s="103"/>
      <c r="N227" s="104">
        <v>168226</v>
      </c>
      <c r="O227" s="118">
        <f>N227</f>
        <v>168226</v>
      </c>
      <c r="P227" s="25">
        <f>N227/L227*100</f>
        <v>99.98811264457996</v>
      </c>
      <c r="Q227" s="1"/>
      <c r="R227" s="103">
        <f t="shared" si="42"/>
        <v>724000</v>
      </c>
      <c r="S227" s="103">
        <f t="shared" si="43"/>
        <v>595610</v>
      </c>
      <c r="T227" s="106">
        <f t="shared" si="44"/>
        <v>723765.28</v>
      </c>
      <c r="U227" s="106">
        <f t="shared" si="45"/>
        <v>168226</v>
      </c>
      <c r="V227" s="26">
        <f t="shared" si="46"/>
        <v>99.96758011049724</v>
      </c>
    </row>
    <row r="228" spans="3:22" s="20" customFormat="1" ht="42" customHeight="1">
      <c r="C228" s="50"/>
      <c r="D228" s="50"/>
      <c r="E228" s="50"/>
      <c r="F228" s="28" t="s">
        <v>340</v>
      </c>
      <c r="G228" s="103">
        <v>61575</v>
      </c>
      <c r="H228" s="104">
        <v>48120</v>
      </c>
      <c r="I228" s="103">
        <v>61570.56</v>
      </c>
      <c r="J228" s="25">
        <f t="shared" si="41"/>
        <v>99.9927892813642</v>
      </c>
      <c r="K228" s="6"/>
      <c r="L228" s="103">
        <v>27225</v>
      </c>
      <c r="M228" s="103">
        <v>15000</v>
      </c>
      <c r="N228" s="104">
        <v>27075</v>
      </c>
      <c r="O228" s="118">
        <f>N228</f>
        <v>27075</v>
      </c>
      <c r="P228" s="25">
        <f>N228/L228*100</f>
        <v>99.44903581267218</v>
      </c>
      <c r="Q228" s="6"/>
      <c r="R228" s="103">
        <f t="shared" si="42"/>
        <v>88800</v>
      </c>
      <c r="S228" s="103">
        <f t="shared" si="43"/>
        <v>63120</v>
      </c>
      <c r="T228" s="106">
        <f t="shared" si="44"/>
        <v>88645.56</v>
      </c>
      <c r="U228" s="106">
        <f t="shared" si="45"/>
        <v>27075</v>
      </c>
      <c r="V228" s="26">
        <f t="shared" si="46"/>
        <v>99.82608108108107</v>
      </c>
    </row>
    <row r="229" spans="3:22" s="29" customFormat="1" ht="35.25" customHeight="1">
      <c r="C229" s="18"/>
      <c r="D229" s="18"/>
      <c r="E229" s="18"/>
      <c r="F229" s="19" t="s">
        <v>9</v>
      </c>
      <c r="G229" s="108">
        <f>G230+G234+G237+G240</f>
        <v>5320870</v>
      </c>
      <c r="H229" s="108">
        <f>H230+H234+H237+H240</f>
        <v>4731007</v>
      </c>
      <c r="I229" s="108">
        <f aca="true" t="shared" si="47" ref="I229:Q229">I230+I234+I237+I240</f>
        <v>5272445.239999999</v>
      </c>
      <c r="J229" s="25">
        <f t="shared" si="41"/>
        <v>99.08990898105007</v>
      </c>
      <c r="K229" s="7">
        <f t="shared" si="47"/>
        <v>0</v>
      </c>
      <c r="L229" s="108">
        <f t="shared" si="47"/>
        <v>10169</v>
      </c>
      <c r="M229" s="108">
        <f t="shared" si="47"/>
        <v>0</v>
      </c>
      <c r="N229" s="108">
        <f t="shared" si="47"/>
        <v>10169</v>
      </c>
      <c r="O229" s="108">
        <f t="shared" si="47"/>
        <v>10169</v>
      </c>
      <c r="P229" s="25"/>
      <c r="Q229" s="7">
        <f t="shared" si="47"/>
        <v>0</v>
      </c>
      <c r="R229" s="103">
        <f t="shared" si="42"/>
        <v>5331039</v>
      </c>
      <c r="S229" s="103">
        <f t="shared" si="43"/>
        <v>4731007</v>
      </c>
      <c r="T229" s="106">
        <f t="shared" si="44"/>
        <v>5282614.239999999</v>
      </c>
      <c r="U229" s="106">
        <f t="shared" si="45"/>
        <v>10169</v>
      </c>
      <c r="V229" s="26">
        <f t="shared" si="46"/>
        <v>99.09164498702785</v>
      </c>
    </row>
    <row r="230" spans="3:22" s="17" customFormat="1" ht="42" customHeight="1">
      <c r="C230" s="23" t="s">
        <v>173</v>
      </c>
      <c r="D230" s="23" t="s">
        <v>63</v>
      </c>
      <c r="E230" s="23" t="s">
        <v>64</v>
      </c>
      <c r="F230" s="40" t="s">
        <v>172</v>
      </c>
      <c r="G230" s="103">
        <f>SUM(G231:G233)</f>
        <v>559580</v>
      </c>
      <c r="H230" s="103">
        <f>SUM(H231:H233)</f>
        <v>538270</v>
      </c>
      <c r="I230" s="103">
        <f>SUM(I231:I233)</f>
        <v>548712.4</v>
      </c>
      <c r="J230" s="25">
        <f t="shared" si="41"/>
        <v>98.05790056828336</v>
      </c>
      <c r="K230" s="1">
        <f>SUM(K231:K233)</f>
        <v>0</v>
      </c>
      <c r="L230" s="103">
        <f>N230+Q230</f>
        <v>0</v>
      </c>
      <c r="M230" s="103">
        <f>SUM(M231:M233)</f>
        <v>0</v>
      </c>
      <c r="N230" s="103">
        <f>SUM(N231:N233)</f>
        <v>0</v>
      </c>
      <c r="O230" s="117">
        <f>SUM(O231:O233)</f>
        <v>0</v>
      </c>
      <c r="P230" s="25"/>
      <c r="Q230" s="1">
        <f>SUM(Q231:Q232)</f>
        <v>0</v>
      </c>
      <c r="R230" s="103">
        <f t="shared" si="42"/>
        <v>559580</v>
      </c>
      <c r="S230" s="103">
        <f t="shared" si="43"/>
        <v>538270</v>
      </c>
      <c r="T230" s="106">
        <f t="shared" si="44"/>
        <v>548712.4</v>
      </c>
      <c r="U230" s="106">
        <f t="shared" si="45"/>
        <v>0</v>
      </c>
      <c r="V230" s="26">
        <f t="shared" si="46"/>
        <v>98.05790056828336</v>
      </c>
    </row>
    <row r="231" spans="3:22" s="20" customFormat="1" ht="38.25" customHeight="1">
      <c r="C231" s="27"/>
      <c r="D231" s="27"/>
      <c r="E231" s="27"/>
      <c r="F231" s="28" t="s">
        <v>394</v>
      </c>
      <c r="G231" s="103">
        <v>469610</v>
      </c>
      <c r="H231" s="103">
        <v>458300</v>
      </c>
      <c r="I231" s="103">
        <v>468742.4</v>
      </c>
      <c r="J231" s="25">
        <f t="shared" si="41"/>
        <v>99.81525095291839</v>
      </c>
      <c r="K231" s="6"/>
      <c r="L231" s="104"/>
      <c r="M231" s="104"/>
      <c r="N231" s="120"/>
      <c r="O231" s="118"/>
      <c r="P231" s="25"/>
      <c r="Q231" s="6"/>
      <c r="R231" s="103">
        <f t="shared" si="42"/>
        <v>469610</v>
      </c>
      <c r="S231" s="103">
        <f t="shared" si="43"/>
        <v>458300</v>
      </c>
      <c r="T231" s="106">
        <f t="shared" si="44"/>
        <v>468742.4</v>
      </c>
      <c r="U231" s="106">
        <f t="shared" si="45"/>
        <v>0</v>
      </c>
      <c r="V231" s="26">
        <f t="shared" si="46"/>
        <v>99.81525095291839</v>
      </c>
    </row>
    <row r="232" spans="3:22" s="20" customFormat="1" ht="47.25" customHeight="1">
      <c r="C232" s="27"/>
      <c r="D232" s="27"/>
      <c r="E232" s="27"/>
      <c r="F232" s="28" t="s">
        <v>308</v>
      </c>
      <c r="G232" s="103">
        <v>89970</v>
      </c>
      <c r="H232" s="103">
        <v>79970</v>
      </c>
      <c r="I232" s="103">
        <v>79970</v>
      </c>
      <c r="J232" s="25">
        <f t="shared" si="41"/>
        <v>88.88518395020563</v>
      </c>
      <c r="K232" s="6"/>
      <c r="L232" s="104"/>
      <c r="M232" s="104"/>
      <c r="N232" s="120"/>
      <c r="O232" s="118"/>
      <c r="P232" s="25"/>
      <c r="Q232" s="6"/>
      <c r="R232" s="103">
        <f t="shared" si="42"/>
        <v>89970</v>
      </c>
      <c r="S232" s="103">
        <f t="shared" si="43"/>
        <v>79970</v>
      </c>
      <c r="T232" s="106">
        <f t="shared" si="44"/>
        <v>79970</v>
      </c>
      <c r="U232" s="106">
        <f t="shared" si="45"/>
        <v>0</v>
      </c>
      <c r="V232" s="26">
        <f t="shared" si="46"/>
        <v>88.88518395020563</v>
      </c>
    </row>
    <row r="233" spans="3:22" s="20" customFormat="1" ht="42.75" customHeight="1" hidden="1">
      <c r="C233" s="27"/>
      <c r="D233" s="27"/>
      <c r="E233" s="27"/>
      <c r="F233" s="28" t="s">
        <v>4</v>
      </c>
      <c r="G233" s="104">
        <f>H233+K233</f>
        <v>0</v>
      </c>
      <c r="H233" s="148"/>
      <c r="I233" s="104" t="s">
        <v>3</v>
      </c>
      <c r="J233" s="25" t="e">
        <f t="shared" si="41"/>
        <v>#VALUE!</v>
      </c>
      <c r="K233" s="6"/>
      <c r="L233" s="104">
        <f>N233+Q233</f>
        <v>0</v>
      </c>
      <c r="M233" s="104"/>
      <c r="N233" s="120"/>
      <c r="O233" s="118"/>
      <c r="P233" s="25" t="e">
        <f>N233/L233*100</f>
        <v>#DIV/0!</v>
      </c>
      <c r="Q233" s="6"/>
      <c r="R233" s="103">
        <f t="shared" si="42"/>
        <v>0</v>
      </c>
      <c r="S233" s="103">
        <f t="shared" si="43"/>
        <v>0</v>
      </c>
      <c r="T233" s="106" t="e">
        <f t="shared" si="44"/>
        <v>#VALUE!</v>
      </c>
      <c r="U233" s="106">
        <f t="shared" si="45"/>
        <v>0</v>
      </c>
      <c r="V233" s="26" t="e">
        <f t="shared" si="46"/>
        <v>#VALUE!</v>
      </c>
    </row>
    <row r="234" spans="3:22" s="17" customFormat="1" ht="49.5" customHeight="1">
      <c r="C234" s="23" t="s">
        <v>175</v>
      </c>
      <c r="D234" s="23" t="s">
        <v>65</v>
      </c>
      <c r="E234" s="23" t="s">
        <v>64</v>
      </c>
      <c r="F234" s="40" t="s">
        <v>174</v>
      </c>
      <c r="G234" s="103">
        <f>SUM(G235:G236)</f>
        <v>312220</v>
      </c>
      <c r="H234" s="103">
        <f>SUM(H235:H236)</f>
        <v>262590</v>
      </c>
      <c r="I234" s="103">
        <f>SUM(I235:I236)</f>
        <v>312128.4</v>
      </c>
      <c r="J234" s="25">
        <f t="shared" si="41"/>
        <v>99.97066171289475</v>
      </c>
      <c r="K234" s="1"/>
      <c r="L234" s="103">
        <f>N234+Q234</f>
        <v>0</v>
      </c>
      <c r="M234" s="103">
        <f>SUM(M235:M236)</f>
        <v>0</v>
      </c>
      <c r="N234" s="103">
        <f>SUM(N235:N236)</f>
        <v>0</v>
      </c>
      <c r="O234" s="117">
        <f>SUM(O235:O236)</f>
        <v>0</v>
      </c>
      <c r="P234" s="25"/>
      <c r="Q234" s="1">
        <f>SUM(Q235:Q236)</f>
        <v>0</v>
      </c>
      <c r="R234" s="103">
        <f t="shared" si="42"/>
        <v>312220</v>
      </c>
      <c r="S234" s="103">
        <f t="shared" si="43"/>
        <v>262590</v>
      </c>
      <c r="T234" s="106">
        <f t="shared" si="44"/>
        <v>312128.4</v>
      </c>
      <c r="U234" s="106">
        <f t="shared" si="45"/>
        <v>0</v>
      </c>
      <c r="V234" s="26">
        <f t="shared" si="46"/>
        <v>99.97066171289475</v>
      </c>
    </row>
    <row r="235" spans="3:22" s="20" customFormat="1" ht="41.25" customHeight="1">
      <c r="C235" s="27"/>
      <c r="D235" s="27"/>
      <c r="E235" s="27"/>
      <c r="F235" s="28" t="s">
        <v>395</v>
      </c>
      <c r="G235" s="103">
        <v>297220</v>
      </c>
      <c r="H235" s="103">
        <v>247590</v>
      </c>
      <c r="I235" s="103">
        <v>297128.4</v>
      </c>
      <c r="J235" s="25">
        <f t="shared" si="41"/>
        <v>99.96918107798938</v>
      </c>
      <c r="K235" s="6"/>
      <c r="L235" s="104"/>
      <c r="M235" s="104"/>
      <c r="N235" s="120"/>
      <c r="O235" s="118"/>
      <c r="P235" s="25"/>
      <c r="Q235" s="6"/>
      <c r="R235" s="103">
        <f t="shared" si="42"/>
        <v>297220</v>
      </c>
      <c r="S235" s="103">
        <f t="shared" si="43"/>
        <v>247590</v>
      </c>
      <c r="T235" s="106">
        <f t="shared" si="44"/>
        <v>297128.4</v>
      </c>
      <c r="U235" s="106">
        <f t="shared" si="45"/>
        <v>0</v>
      </c>
      <c r="V235" s="26">
        <f t="shared" si="46"/>
        <v>99.96918107798938</v>
      </c>
    </row>
    <row r="236" spans="3:22" s="20" customFormat="1" ht="42" customHeight="1">
      <c r="C236" s="27"/>
      <c r="D236" s="27"/>
      <c r="E236" s="27"/>
      <c r="F236" s="28" t="s">
        <v>308</v>
      </c>
      <c r="G236" s="103">
        <v>15000</v>
      </c>
      <c r="H236" s="103">
        <v>15000</v>
      </c>
      <c r="I236" s="103">
        <v>15000</v>
      </c>
      <c r="J236" s="25">
        <f t="shared" si="41"/>
        <v>100</v>
      </c>
      <c r="K236" s="6"/>
      <c r="L236" s="104"/>
      <c r="M236" s="104"/>
      <c r="N236" s="120"/>
      <c r="O236" s="118"/>
      <c r="P236" s="25"/>
      <c r="Q236" s="6"/>
      <c r="R236" s="103">
        <f t="shared" si="42"/>
        <v>15000</v>
      </c>
      <c r="S236" s="103">
        <f t="shared" si="43"/>
        <v>15000</v>
      </c>
      <c r="T236" s="106">
        <f t="shared" si="44"/>
        <v>15000</v>
      </c>
      <c r="U236" s="106">
        <f t="shared" si="45"/>
        <v>0</v>
      </c>
      <c r="V236" s="26">
        <f t="shared" si="46"/>
        <v>100</v>
      </c>
    </row>
    <row r="237" spans="3:22" s="20" customFormat="1" ht="45.75" customHeight="1">
      <c r="C237" s="23" t="s">
        <v>177</v>
      </c>
      <c r="D237" s="23" t="s">
        <v>72</v>
      </c>
      <c r="E237" s="23" t="s">
        <v>64</v>
      </c>
      <c r="F237" s="24" t="s">
        <v>176</v>
      </c>
      <c r="G237" s="103">
        <f>G238+G239</f>
        <v>4398900</v>
      </c>
      <c r="H237" s="103">
        <f aca="true" t="shared" si="48" ref="H237:Q237">H238+H239</f>
        <v>3879977</v>
      </c>
      <c r="I237" s="103">
        <f t="shared" si="48"/>
        <v>4361434.9399999995</v>
      </c>
      <c r="J237" s="25">
        <f t="shared" si="41"/>
        <v>99.14830844074653</v>
      </c>
      <c r="K237" s="1">
        <f t="shared" si="48"/>
        <v>0</v>
      </c>
      <c r="L237" s="103">
        <f t="shared" si="48"/>
        <v>10169</v>
      </c>
      <c r="M237" s="103">
        <f t="shared" si="48"/>
        <v>0</v>
      </c>
      <c r="N237" s="103">
        <f t="shared" si="48"/>
        <v>10169</v>
      </c>
      <c r="O237" s="117">
        <f t="shared" si="48"/>
        <v>10169</v>
      </c>
      <c r="P237" s="25">
        <f aca="true" t="shared" si="49" ref="P237:P242">N237/L237*100</f>
        <v>100</v>
      </c>
      <c r="Q237" s="1">
        <f t="shared" si="48"/>
        <v>0</v>
      </c>
      <c r="R237" s="103">
        <f t="shared" si="42"/>
        <v>4409069</v>
      </c>
      <c r="S237" s="103">
        <f t="shared" si="43"/>
        <v>3879977</v>
      </c>
      <c r="T237" s="106">
        <f t="shared" si="44"/>
        <v>4371603.9399999995</v>
      </c>
      <c r="U237" s="106">
        <f t="shared" si="45"/>
        <v>10169</v>
      </c>
      <c r="V237" s="26">
        <f t="shared" si="46"/>
        <v>99.15027276733477</v>
      </c>
    </row>
    <row r="238" spans="3:22" s="20" customFormat="1" ht="39" customHeight="1">
      <c r="C238" s="23"/>
      <c r="D238" s="23"/>
      <c r="E238" s="23"/>
      <c r="F238" s="31" t="s">
        <v>409</v>
      </c>
      <c r="G238" s="103">
        <v>4381700</v>
      </c>
      <c r="H238" s="103">
        <v>3871477</v>
      </c>
      <c r="I238" s="103">
        <v>4344235.1</v>
      </c>
      <c r="J238" s="25">
        <f t="shared" si="41"/>
        <v>99.1449688477075</v>
      </c>
      <c r="K238" s="6"/>
      <c r="L238" s="103">
        <v>10169</v>
      </c>
      <c r="M238" s="103"/>
      <c r="N238" s="104">
        <v>10169</v>
      </c>
      <c r="O238" s="118">
        <f>N238</f>
        <v>10169</v>
      </c>
      <c r="P238" s="25">
        <f t="shared" si="49"/>
        <v>100</v>
      </c>
      <c r="Q238" s="6"/>
      <c r="R238" s="103">
        <f t="shared" si="42"/>
        <v>4391869</v>
      </c>
      <c r="S238" s="103">
        <f t="shared" si="43"/>
        <v>3871477</v>
      </c>
      <c r="T238" s="106">
        <f t="shared" si="44"/>
        <v>4354404.1</v>
      </c>
      <c r="U238" s="106">
        <f t="shared" si="45"/>
        <v>10169</v>
      </c>
      <c r="V238" s="26">
        <f t="shared" si="46"/>
        <v>99.14694859978746</v>
      </c>
    </row>
    <row r="239" spans="3:22" s="20" customFormat="1" ht="60.75" customHeight="1">
      <c r="C239" s="23"/>
      <c r="D239" s="23"/>
      <c r="E239" s="23"/>
      <c r="F239" s="90" t="s">
        <v>450</v>
      </c>
      <c r="G239" s="103">
        <v>17200</v>
      </c>
      <c r="H239" s="103">
        <v>8500</v>
      </c>
      <c r="I239" s="103">
        <v>17199.84</v>
      </c>
      <c r="J239" s="25">
        <f t="shared" si="41"/>
        <v>99.99906976744187</v>
      </c>
      <c r="K239" s="6"/>
      <c r="L239" s="103"/>
      <c r="M239" s="103"/>
      <c r="N239" s="104"/>
      <c r="O239" s="118"/>
      <c r="P239" s="25"/>
      <c r="Q239" s="6"/>
      <c r="R239" s="103">
        <f t="shared" si="42"/>
        <v>17200</v>
      </c>
      <c r="S239" s="103">
        <f t="shared" si="43"/>
        <v>8500</v>
      </c>
      <c r="T239" s="106">
        <f t="shared" si="44"/>
        <v>17199.84</v>
      </c>
      <c r="U239" s="106">
        <f t="shared" si="45"/>
        <v>0</v>
      </c>
      <c r="V239" s="26">
        <f t="shared" si="46"/>
        <v>99.99906976744187</v>
      </c>
    </row>
    <row r="240" spans="3:22" s="17" customFormat="1" ht="61.5" customHeight="1">
      <c r="C240" s="23" t="s">
        <v>179</v>
      </c>
      <c r="D240" s="23" t="s">
        <v>70</v>
      </c>
      <c r="E240" s="23" t="s">
        <v>64</v>
      </c>
      <c r="F240" s="40" t="s">
        <v>178</v>
      </c>
      <c r="G240" s="103">
        <f>G241+G242</f>
        <v>50170</v>
      </c>
      <c r="H240" s="103">
        <f>H241+H242</f>
        <v>50170</v>
      </c>
      <c r="I240" s="103">
        <f>I241+I242</f>
        <v>50169.5</v>
      </c>
      <c r="J240" s="25">
        <f t="shared" si="41"/>
        <v>99.99900338847917</v>
      </c>
      <c r="K240" s="1"/>
      <c r="L240" s="103">
        <f>N240+Q240</f>
        <v>0</v>
      </c>
      <c r="M240" s="103">
        <f>M241+M242</f>
        <v>0</v>
      </c>
      <c r="N240" s="103">
        <f>N241+N242</f>
        <v>0</v>
      </c>
      <c r="O240" s="117">
        <f>O241+O242</f>
        <v>0</v>
      </c>
      <c r="P240" s="25"/>
      <c r="Q240" s="1">
        <f>Q241+Q242</f>
        <v>0</v>
      </c>
      <c r="R240" s="103">
        <f t="shared" si="42"/>
        <v>50170</v>
      </c>
      <c r="S240" s="103">
        <f t="shared" si="43"/>
        <v>50170</v>
      </c>
      <c r="T240" s="106">
        <f t="shared" si="44"/>
        <v>50169.5</v>
      </c>
      <c r="U240" s="106">
        <f t="shared" si="45"/>
        <v>0</v>
      </c>
      <c r="V240" s="26">
        <f t="shared" si="46"/>
        <v>99.99900338847917</v>
      </c>
    </row>
    <row r="241" spans="3:22" s="20" customFormat="1" ht="39.75" customHeight="1">
      <c r="C241" s="27"/>
      <c r="D241" s="27"/>
      <c r="E241" s="27"/>
      <c r="F241" s="28" t="s">
        <v>394</v>
      </c>
      <c r="G241" s="103">
        <v>50170</v>
      </c>
      <c r="H241" s="103">
        <v>50170</v>
      </c>
      <c r="I241" s="103">
        <v>50169.5</v>
      </c>
      <c r="J241" s="25">
        <f t="shared" si="41"/>
        <v>99.99900338847917</v>
      </c>
      <c r="K241" s="6"/>
      <c r="L241" s="103"/>
      <c r="M241" s="104"/>
      <c r="N241" s="120"/>
      <c r="O241" s="118"/>
      <c r="P241" s="25"/>
      <c r="Q241" s="6"/>
      <c r="R241" s="103">
        <f t="shared" si="42"/>
        <v>50170</v>
      </c>
      <c r="S241" s="103">
        <f t="shared" si="43"/>
        <v>50170</v>
      </c>
      <c r="T241" s="106">
        <f t="shared" si="44"/>
        <v>50169.5</v>
      </c>
      <c r="U241" s="106">
        <f t="shared" si="45"/>
        <v>0</v>
      </c>
      <c r="V241" s="26">
        <f t="shared" si="46"/>
        <v>99.99900338847917</v>
      </c>
    </row>
    <row r="242" spans="3:22" s="20" customFormat="1" ht="1.5" customHeight="1" hidden="1">
      <c r="C242" s="27"/>
      <c r="D242" s="27"/>
      <c r="E242" s="27"/>
      <c r="F242" s="28" t="s">
        <v>71</v>
      </c>
      <c r="G242" s="104">
        <f>H242+K242</f>
        <v>0</v>
      </c>
      <c r="H242" s="104"/>
      <c r="I242" s="104"/>
      <c r="J242" s="25" t="e">
        <f t="shared" si="41"/>
        <v>#DIV/0!</v>
      </c>
      <c r="K242" s="6"/>
      <c r="L242" s="103">
        <f>N242+Q242</f>
        <v>0</v>
      </c>
      <c r="M242" s="104"/>
      <c r="N242" s="120"/>
      <c r="O242" s="118"/>
      <c r="P242" s="25" t="e">
        <f t="shared" si="49"/>
        <v>#DIV/0!</v>
      </c>
      <c r="Q242" s="6"/>
      <c r="R242" s="103">
        <f t="shared" si="42"/>
        <v>0</v>
      </c>
      <c r="S242" s="103">
        <f t="shared" si="43"/>
        <v>0</v>
      </c>
      <c r="T242" s="106">
        <f t="shared" si="44"/>
        <v>0</v>
      </c>
      <c r="U242" s="106">
        <f t="shared" si="45"/>
        <v>0</v>
      </c>
      <c r="V242" s="26" t="e">
        <f t="shared" si="46"/>
        <v>#DIV/0!</v>
      </c>
    </row>
    <row r="243" spans="3:22" s="20" customFormat="1" ht="33" customHeight="1">
      <c r="C243" s="23" t="s">
        <v>376</v>
      </c>
      <c r="D243" s="23" t="s">
        <v>377</v>
      </c>
      <c r="E243" s="23" t="s">
        <v>378</v>
      </c>
      <c r="F243" s="40" t="s">
        <v>379</v>
      </c>
      <c r="G243" s="103">
        <f>G244+G245</f>
        <v>212000</v>
      </c>
      <c r="H243" s="103">
        <f>H244+H245</f>
        <v>208000</v>
      </c>
      <c r="I243" s="103">
        <f>I244+I245</f>
        <v>207407</v>
      </c>
      <c r="J243" s="25">
        <f t="shared" si="41"/>
        <v>97.83349056603774</v>
      </c>
      <c r="K243" s="1">
        <f>K244+K245</f>
        <v>0</v>
      </c>
      <c r="L243" s="103">
        <f>L244+L245</f>
        <v>497000</v>
      </c>
      <c r="M243" s="103">
        <f>M244+M245</f>
        <v>497000</v>
      </c>
      <c r="N243" s="103">
        <f>N244+N245</f>
        <v>494230</v>
      </c>
      <c r="O243" s="117">
        <f>O244+O245</f>
        <v>494230</v>
      </c>
      <c r="P243" s="25">
        <f>N243/L243*100</f>
        <v>99.44265593561367</v>
      </c>
      <c r="Q243" s="1">
        <f>Q244+Q245</f>
        <v>0</v>
      </c>
      <c r="R243" s="103">
        <f t="shared" si="42"/>
        <v>709000</v>
      </c>
      <c r="S243" s="103">
        <f t="shared" si="43"/>
        <v>705000</v>
      </c>
      <c r="T243" s="106">
        <f t="shared" si="44"/>
        <v>701637</v>
      </c>
      <c r="U243" s="106">
        <f t="shared" si="45"/>
        <v>494230</v>
      </c>
      <c r="V243" s="26">
        <f t="shared" si="46"/>
        <v>98.96149506346967</v>
      </c>
    </row>
    <row r="244" spans="3:22" s="20" customFormat="1" ht="42.75" customHeight="1">
      <c r="C244" s="27"/>
      <c r="D244" s="27"/>
      <c r="E244" s="27"/>
      <c r="F244" s="28" t="s">
        <v>394</v>
      </c>
      <c r="G244" s="103">
        <v>153000</v>
      </c>
      <c r="H244" s="103">
        <v>149000</v>
      </c>
      <c r="I244" s="103">
        <v>153000</v>
      </c>
      <c r="J244" s="25">
        <f t="shared" si="41"/>
        <v>100</v>
      </c>
      <c r="K244" s="6"/>
      <c r="L244" s="103">
        <v>497000</v>
      </c>
      <c r="M244" s="103">
        <v>497000</v>
      </c>
      <c r="N244" s="120">
        <v>494230</v>
      </c>
      <c r="O244" s="118">
        <v>494230</v>
      </c>
      <c r="P244" s="25">
        <f>N244/L244*100</f>
        <v>99.44265593561367</v>
      </c>
      <c r="Q244" s="6"/>
      <c r="R244" s="103">
        <f t="shared" si="42"/>
        <v>650000</v>
      </c>
      <c r="S244" s="103">
        <f t="shared" si="43"/>
        <v>646000</v>
      </c>
      <c r="T244" s="106">
        <f t="shared" si="44"/>
        <v>647230</v>
      </c>
      <c r="U244" s="106">
        <f t="shared" si="45"/>
        <v>494230</v>
      </c>
      <c r="V244" s="26">
        <f t="shared" si="46"/>
        <v>99.57384615384616</v>
      </c>
    </row>
    <row r="245" spans="3:22" s="17" customFormat="1" ht="39" customHeight="1">
      <c r="C245" s="41"/>
      <c r="D245" s="41"/>
      <c r="E245" s="41"/>
      <c r="F245" s="31" t="s">
        <v>308</v>
      </c>
      <c r="G245" s="103">
        <v>59000</v>
      </c>
      <c r="H245" s="103">
        <v>59000</v>
      </c>
      <c r="I245" s="103">
        <v>54407</v>
      </c>
      <c r="J245" s="25">
        <f t="shared" si="41"/>
        <v>92.21525423728814</v>
      </c>
      <c r="K245" s="1"/>
      <c r="L245" s="103"/>
      <c r="M245" s="103"/>
      <c r="N245" s="103"/>
      <c r="O245" s="117"/>
      <c r="P245" s="25"/>
      <c r="Q245" s="1"/>
      <c r="R245" s="103">
        <f t="shared" si="42"/>
        <v>59000</v>
      </c>
      <c r="S245" s="103">
        <f t="shared" si="43"/>
        <v>59000</v>
      </c>
      <c r="T245" s="106">
        <f t="shared" si="44"/>
        <v>54407</v>
      </c>
      <c r="U245" s="106">
        <f t="shared" si="45"/>
        <v>0</v>
      </c>
      <c r="V245" s="26">
        <f t="shared" si="46"/>
        <v>92.21525423728814</v>
      </c>
    </row>
    <row r="246" spans="3:22" s="29" customFormat="1" ht="27.75" customHeight="1">
      <c r="C246" s="18"/>
      <c r="D246" s="18"/>
      <c r="E246" s="18"/>
      <c r="F246" s="38" t="s">
        <v>5</v>
      </c>
      <c r="G246" s="108">
        <f>G202+G205+G209+G212+G229+G243</f>
        <v>20241979</v>
      </c>
      <c r="H246" s="108">
        <f>H202+H205+H209+H212+H229+H243</f>
        <v>16733500</v>
      </c>
      <c r="I246" s="108">
        <f>I202+I205+I209+I212+I229+I243</f>
        <v>20076404.849999998</v>
      </c>
      <c r="J246" s="25">
        <f t="shared" si="41"/>
        <v>99.18202587800332</v>
      </c>
      <c r="K246" s="7">
        <f>K202+K205+K209+K212+K229+K243</f>
        <v>0</v>
      </c>
      <c r="L246" s="108">
        <f>L202+L205+L209+L212+L229+L243</f>
        <v>1791655.98</v>
      </c>
      <c r="M246" s="108">
        <f>M202+M205+M209+M212+M229+M243</f>
        <v>969537.91</v>
      </c>
      <c r="N246" s="108">
        <f>N202+N205+N209+N212+N229+N243</f>
        <v>1725525.8399999999</v>
      </c>
      <c r="O246" s="108">
        <f>O202+O205+O209+O212+O229+O243</f>
        <v>1324466.9</v>
      </c>
      <c r="P246" s="39">
        <f>N246/L246*100</f>
        <v>96.30899342629381</v>
      </c>
      <c r="Q246" s="7">
        <f>Q202+Q205+Q209+Q212+Q229+Q243</f>
        <v>0</v>
      </c>
      <c r="R246" s="103">
        <f t="shared" si="42"/>
        <v>22033634.98</v>
      </c>
      <c r="S246" s="103">
        <f t="shared" si="43"/>
        <v>17703037.91</v>
      </c>
      <c r="T246" s="106">
        <f t="shared" si="44"/>
        <v>21801930.689999998</v>
      </c>
      <c r="U246" s="106">
        <f t="shared" si="45"/>
        <v>1324466.9</v>
      </c>
      <c r="V246" s="26">
        <f t="shared" si="46"/>
        <v>98.9484064240407</v>
      </c>
    </row>
    <row r="247" spans="3:22" s="17" customFormat="1" ht="39.75" customHeight="1">
      <c r="C247" s="18" t="s">
        <v>271</v>
      </c>
      <c r="D247" s="23"/>
      <c r="E247" s="23"/>
      <c r="F247" s="19" t="s">
        <v>371</v>
      </c>
      <c r="G247" s="103"/>
      <c r="H247" s="103"/>
      <c r="I247" s="103"/>
      <c r="J247" s="25"/>
      <c r="K247" s="1"/>
      <c r="L247" s="104"/>
      <c r="M247" s="104"/>
      <c r="N247" s="103"/>
      <c r="O247" s="117"/>
      <c r="P247" s="25"/>
      <c r="Q247" s="1"/>
      <c r="R247" s="103"/>
      <c r="S247" s="103"/>
      <c r="T247" s="106"/>
      <c r="U247" s="106"/>
      <c r="V247" s="26"/>
    </row>
    <row r="248" spans="3:22" s="20" customFormat="1" ht="42" customHeight="1">
      <c r="C248" s="21" t="s">
        <v>270</v>
      </c>
      <c r="D248" s="27"/>
      <c r="E248" s="27"/>
      <c r="F248" s="22" t="s">
        <v>371</v>
      </c>
      <c r="G248" s="104"/>
      <c r="H248" s="104"/>
      <c r="I248" s="104"/>
      <c r="J248" s="25"/>
      <c r="K248" s="6"/>
      <c r="L248" s="104"/>
      <c r="M248" s="104"/>
      <c r="N248" s="104"/>
      <c r="O248" s="118"/>
      <c r="P248" s="25"/>
      <c r="Q248" s="6"/>
      <c r="R248" s="103"/>
      <c r="S248" s="103"/>
      <c r="T248" s="106"/>
      <c r="U248" s="106"/>
      <c r="V248" s="26"/>
    </row>
    <row r="249" spans="1:22" s="17" customFormat="1" ht="42.75" customHeight="1">
      <c r="A249" s="17">
        <v>5</v>
      </c>
      <c r="B249" s="17">
        <v>36</v>
      </c>
      <c r="C249" s="23" t="s">
        <v>269</v>
      </c>
      <c r="D249" s="23" t="s">
        <v>32</v>
      </c>
      <c r="E249" s="23" t="s">
        <v>29</v>
      </c>
      <c r="F249" s="40" t="s">
        <v>101</v>
      </c>
      <c r="G249" s="103">
        <f>G250+G251</f>
        <v>6289548</v>
      </c>
      <c r="H249" s="103">
        <f>H250+H251</f>
        <v>4840732</v>
      </c>
      <c r="I249" s="103">
        <f>I250+I251</f>
        <v>6178851.78</v>
      </c>
      <c r="J249" s="25">
        <f t="shared" si="41"/>
        <v>98.23999721442623</v>
      </c>
      <c r="K249" s="1"/>
      <c r="L249" s="103">
        <f>L250+L251</f>
        <v>20000</v>
      </c>
      <c r="M249" s="103">
        <f>M250+M251</f>
        <v>20000</v>
      </c>
      <c r="N249" s="103">
        <f>N250+N251</f>
        <v>20000</v>
      </c>
      <c r="O249" s="103">
        <f>O250+O251</f>
        <v>20000</v>
      </c>
      <c r="P249" s="25">
        <f>N249/L249*100</f>
        <v>100</v>
      </c>
      <c r="Q249" s="1"/>
      <c r="R249" s="103">
        <f t="shared" si="42"/>
        <v>6309548</v>
      </c>
      <c r="S249" s="103">
        <f t="shared" si="43"/>
        <v>4860732</v>
      </c>
      <c r="T249" s="106">
        <f t="shared" si="44"/>
        <v>6198851.78</v>
      </c>
      <c r="U249" s="106">
        <f t="shared" si="45"/>
        <v>20000</v>
      </c>
      <c r="V249" s="26">
        <f t="shared" si="46"/>
        <v>98.24557606979137</v>
      </c>
    </row>
    <row r="250" spans="3:22" s="17" customFormat="1" ht="27" customHeight="1">
      <c r="C250" s="23"/>
      <c r="D250" s="23"/>
      <c r="E250" s="23"/>
      <c r="F250" s="60" t="s">
        <v>472</v>
      </c>
      <c r="G250" s="103">
        <v>6244698</v>
      </c>
      <c r="H250" s="103">
        <v>4795332</v>
      </c>
      <c r="I250" s="103">
        <v>6144197.94</v>
      </c>
      <c r="J250" s="25">
        <f t="shared" si="41"/>
        <v>98.39063378245034</v>
      </c>
      <c r="K250" s="1"/>
      <c r="L250" s="103">
        <v>20000</v>
      </c>
      <c r="M250" s="103">
        <v>20000</v>
      </c>
      <c r="N250" s="103">
        <v>20000</v>
      </c>
      <c r="O250" s="117">
        <v>20000</v>
      </c>
      <c r="P250" s="25">
        <f>N250/L250*100</f>
        <v>100</v>
      </c>
      <c r="Q250" s="1"/>
      <c r="R250" s="103">
        <f t="shared" si="42"/>
        <v>6264698</v>
      </c>
      <c r="S250" s="103">
        <f t="shared" si="43"/>
        <v>4815332</v>
      </c>
      <c r="T250" s="106">
        <f t="shared" si="44"/>
        <v>6164197.94</v>
      </c>
      <c r="U250" s="106">
        <f t="shared" si="45"/>
        <v>20000</v>
      </c>
      <c r="V250" s="26">
        <f t="shared" si="46"/>
        <v>98.39577167167516</v>
      </c>
    </row>
    <row r="251" spans="3:22" s="17" customFormat="1" ht="50.25" customHeight="1">
      <c r="C251" s="23"/>
      <c r="D251" s="23"/>
      <c r="E251" s="23"/>
      <c r="F251" s="90" t="s">
        <v>450</v>
      </c>
      <c r="G251" s="103">
        <v>44850</v>
      </c>
      <c r="H251" s="103">
        <v>45400</v>
      </c>
      <c r="I251" s="103">
        <v>34653.84</v>
      </c>
      <c r="J251" s="25">
        <f t="shared" si="41"/>
        <v>77.26608695652173</v>
      </c>
      <c r="K251" s="1"/>
      <c r="L251" s="103"/>
      <c r="M251" s="103"/>
      <c r="N251" s="103"/>
      <c r="O251" s="117"/>
      <c r="P251" s="25"/>
      <c r="Q251" s="1"/>
      <c r="R251" s="103">
        <f t="shared" si="42"/>
        <v>44850</v>
      </c>
      <c r="S251" s="103">
        <f t="shared" si="43"/>
        <v>45400</v>
      </c>
      <c r="T251" s="106">
        <f t="shared" si="44"/>
        <v>34653.84</v>
      </c>
      <c r="U251" s="106">
        <f t="shared" si="45"/>
        <v>0</v>
      </c>
      <c r="V251" s="26">
        <f t="shared" si="46"/>
        <v>77.26608695652173</v>
      </c>
    </row>
    <row r="252" spans="3:22" s="30" customFormat="1" ht="33.75" customHeight="1">
      <c r="C252" s="18"/>
      <c r="D252" s="18"/>
      <c r="E252" s="21"/>
      <c r="F252" s="19" t="s">
        <v>206</v>
      </c>
      <c r="G252" s="108">
        <f>G253+G258+G262+G269+G271+G274+G276+G277+G286+G288</f>
        <v>34746062.55</v>
      </c>
      <c r="H252" s="108">
        <f>H253+H258+H262+H269+H271+H274+H276+H277+H286+H288</f>
        <v>29693532.55</v>
      </c>
      <c r="I252" s="108">
        <f>I253+I258+I262+I271+I277+I286+I288</f>
        <v>34511085.87</v>
      </c>
      <c r="J252" s="25">
        <f t="shared" si="41"/>
        <v>99.3237314885338</v>
      </c>
      <c r="K252" s="7">
        <f>K253+K258+K262+K269+K271+K274+K276+K277+K286+K288</f>
        <v>0</v>
      </c>
      <c r="L252" s="108">
        <f>L253+L258+L262+L269+L271+L274+L276+L277+L286+L288</f>
        <v>1703428</v>
      </c>
      <c r="M252" s="108">
        <f>M253+M258+M262+M269+M271+M274+M276+M277+M286+M288</f>
        <v>1753499</v>
      </c>
      <c r="N252" s="108">
        <f>N253+N258+N262+N269+N271+N274+N276+N277+N286+N288</f>
        <v>1697921.1600000001</v>
      </c>
      <c r="O252" s="123">
        <f>O253+O258+O262+O269+O271+O274+O276+O277+O286+O288</f>
        <v>1697921.1600000001</v>
      </c>
      <c r="P252" s="39">
        <f>N252/L252*100</f>
        <v>99.67672011966458</v>
      </c>
      <c r="Q252" s="7">
        <f>Q253+Q258+Q262+Q269+Q271+Q274+Q276+Q277+Q286+Q288</f>
        <v>10531700</v>
      </c>
      <c r="R252" s="103">
        <f t="shared" si="42"/>
        <v>36449490.55</v>
      </c>
      <c r="S252" s="103">
        <f t="shared" si="43"/>
        <v>31447031.55</v>
      </c>
      <c r="T252" s="106">
        <f t="shared" si="44"/>
        <v>36209007.03</v>
      </c>
      <c r="U252" s="106">
        <f t="shared" si="45"/>
        <v>1697921.1600000001</v>
      </c>
      <c r="V252" s="26">
        <f t="shared" si="46"/>
        <v>99.3402280350939</v>
      </c>
    </row>
    <row r="253" spans="3:22" s="17" customFormat="1" ht="32.25" customHeight="1">
      <c r="C253" s="23" t="s">
        <v>309</v>
      </c>
      <c r="D253" s="23" t="s">
        <v>185</v>
      </c>
      <c r="E253" s="23" t="s">
        <v>399</v>
      </c>
      <c r="F253" s="35" t="s">
        <v>191</v>
      </c>
      <c r="G253" s="103">
        <f>SUM(G254:G257)</f>
        <v>3812010.55</v>
      </c>
      <c r="H253" s="103">
        <f>SUM(H254:H257)</f>
        <v>3642192.55</v>
      </c>
      <c r="I253" s="103">
        <f>SUM(I254:I257)</f>
        <v>3784250.62</v>
      </c>
      <c r="J253" s="25">
        <f t="shared" si="41"/>
        <v>99.27177719904266</v>
      </c>
      <c r="K253" s="1">
        <f>SUM(K254:K257)</f>
        <v>0</v>
      </c>
      <c r="L253" s="103">
        <f>SUM(L254:L257)</f>
        <v>0</v>
      </c>
      <c r="M253" s="103">
        <f>SUM(M254:M257)</f>
        <v>0</v>
      </c>
      <c r="N253" s="103">
        <f>SUM(N254:N257)</f>
        <v>0</v>
      </c>
      <c r="O253" s="117">
        <f>SUM(O254:O257)</f>
        <v>0</v>
      </c>
      <c r="P253" s="25"/>
      <c r="Q253" s="1">
        <f>SUM(Q254:Q257)</f>
        <v>1600000</v>
      </c>
      <c r="R253" s="103">
        <f t="shared" si="42"/>
        <v>3812010.55</v>
      </c>
      <c r="S253" s="103">
        <f t="shared" si="43"/>
        <v>3642192.55</v>
      </c>
      <c r="T253" s="106">
        <f t="shared" si="44"/>
        <v>3784250.62</v>
      </c>
      <c r="U253" s="106">
        <f t="shared" si="45"/>
        <v>0</v>
      </c>
      <c r="V253" s="26">
        <f t="shared" si="46"/>
        <v>99.27177719904266</v>
      </c>
    </row>
    <row r="254" spans="3:22" s="20" customFormat="1" ht="57.75" customHeight="1">
      <c r="C254" s="27"/>
      <c r="D254" s="27"/>
      <c r="E254" s="27"/>
      <c r="F254" s="37" t="s">
        <v>21</v>
      </c>
      <c r="G254" s="103">
        <v>3191027</v>
      </c>
      <c r="H254" s="103">
        <v>3191027</v>
      </c>
      <c r="I254" s="103">
        <v>3172805.63</v>
      </c>
      <c r="J254" s="25">
        <f t="shared" si="41"/>
        <v>99.42898101457618</v>
      </c>
      <c r="K254" s="6"/>
      <c r="L254" s="103"/>
      <c r="M254" s="103"/>
      <c r="N254" s="103"/>
      <c r="O254" s="117"/>
      <c r="P254" s="25"/>
      <c r="Q254" s="1">
        <v>1600000</v>
      </c>
      <c r="R254" s="103">
        <f t="shared" si="42"/>
        <v>3191027</v>
      </c>
      <c r="S254" s="103">
        <f t="shared" si="43"/>
        <v>3191027</v>
      </c>
      <c r="T254" s="106">
        <f t="shared" si="44"/>
        <v>3172805.63</v>
      </c>
      <c r="U254" s="106">
        <f t="shared" si="45"/>
        <v>0</v>
      </c>
      <c r="V254" s="26">
        <f t="shared" si="46"/>
        <v>99.42898101457618</v>
      </c>
    </row>
    <row r="255" spans="3:22" s="20" customFormat="1" ht="39" customHeight="1" hidden="1">
      <c r="C255" s="27"/>
      <c r="D255" s="27"/>
      <c r="E255" s="27"/>
      <c r="F255" s="37" t="s">
        <v>387</v>
      </c>
      <c r="G255" s="103"/>
      <c r="H255" s="104">
        <v>0</v>
      </c>
      <c r="I255" s="103">
        <v>0</v>
      </c>
      <c r="J255" s="25" t="e">
        <f t="shared" si="41"/>
        <v>#DIV/0!</v>
      </c>
      <c r="K255" s="6"/>
      <c r="L255" s="103"/>
      <c r="M255" s="103"/>
      <c r="N255" s="103"/>
      <c r="O255" s="117"/>
      <c r="P255" s="25"/>
      <c r="Q255" s="1"/>
      <c r="R255" s="103">
        <f t="shared" si="42"/>
        <v>0</v>
      </c>
      <c r="S255" s="103">
        <f t="shared" si="43"/>
        <v>0</v>
      </c>
      <c r="T255" s="106">
        <f t="shared" si="44"/>
        <v>0</v>
      </c>
      <c r="U255" s="106">
        <f t="shared" si="45"/>
        <v>0</v>
      </c>
      <c r="V255" s="26" t="e">
        <f t="shared" si="46"/>
        <v>#DIV/0!</v>
      </c>
    </row>
    <row r="256" spans="3:22" s="20" customFormat="1" ht="42" customHeight="1">
      <c r="C256" s="27"/>
      <c r="D256" s="27"/>
      <c r="E256" s="27"/>
      <c r="F256" s="37" t="s">
        <v>341</v>
      </c>
      <c r="G256" s="103">
        <v>620983.55</v>
      </c>
      <c r="H256" s="104">
        <v>451165.55</v>
      </c>
      <c r="I256" s="103">
        <v>611444.99</v>
      </c>
      <c r="J256" s="25">
        <f t="shared" si="41"/>
        <v>98.46395931099946</v>
      </c>
      <c r="K256" s="6"/>
      <c r="L256" s="104"/>
      <c r="M256" s="104"/>
      <c r="N256" s="104"/>
      <c r="O256" s="117"/>
      <c r="P256" s="25"/>
      <c r="Q256" s="6"/>
      <c r="R256" s="103">
        <f t="shared" si="42"/>
        <v>620983.55</v>
      </c>
      <c r="S256" s="103">
        <f t="shared" si="43"/>
        <v>451165.55</v>
      </c>
      <c r="T256" s="106">
        <f t="shared" si="44"/>
        <v>611444.99</v>
      </c>
      <c r="U256" s="106">
        <f t="shared" si="45"/>
        <v>0</v>
      </c>
      <c r="V256" s="26">
        <f t="shared" si="46"/>
        <v>98.46395931099946</v>
      </c>
    </row>
    <row r="257" spans="3:22" s="20" customFormat="1" ht="36" customHeight="1" hidden="1">
      <c r="C257" s="27"/>
      <c r="D257" s="27"/>
      <c r="E257" s="27"/>
      <c r="F257" s="37" t="s">
        <v>22</v>
      </c>
      <c r="G257" s="104">
        <f>H257+K257</f>
        <v>0</v>
      </c>
      <c r="H257" s="148"/>
      <c r="I257" s="148"/>
      <c r="J257" s="25" t="e">
        <f t="shared" si="41"/>
        <v>#DIV/0!</v>
      </c>
      <c r="K257" s="6"/>
      <c r="L257" s="104">
        <f aca="true" t="shared" si="50" ref="L257:L268">N257+Q257</f>
        <v>0</v>
      </c>
      <c r="M257" s="104"/>
      <c r="N257" s="104"/>
      <c r="O257" s="117">
        <f>N257</f>
        <v>0</v>
      </c>
      <c r="P257" s="25"/>
      <c r="Q257" s="6"/>
      <c r="R257" s="103">
        <f t="shared" si="42"/>
        <v>0</v>
      </c>
      <c r="S257" s="103">
        <f t="shared" si="43"/>
        <v>0</v>
      </c>
      <c r="T257" s="106">
        <f t="shared" si="44"/>
        <v>0</v>
      </c>
      <c r="U257" s="106">
        <f t="shared" si="45"/>
        <v>0</v>
      </c>
      <c r="V257" s="26" t="e">
        <f t="shared" si="46"/>
        <v>#DIV/0!</v>
      </c>
    </row>
    <row r="258" spans="3:22" s="17" customFormat="1" ht="44.25" customHeight="1" hidden="1">
      <c r="C258" s="23" t="s">
        <v>310</v>
      </c>
      <c r="D258" s="23" t="s">
        <v>186</v>
      </c>
      <c r="E258" s="23" t="s">
        <v>55</v>
      </c>
      <c r="F258" s="40" t="s">
        <v>187</v>
      </c>
      <c r="G258" s="103">
        <f>SUM(G259:G261)</f>
        <v>0</v>
      </c>
      <c r="H258" s="147">
        <f>SUM(H259:H261)</f>
        <v>0</v>
      </c>
      <c r="I258" s="147">
        <f aca="true" t="shared" si="51" ref="I258:Q258">SUM(I259:I261)</f>
        <v>0</v>
      </c>
      <c r="J258" s="25" t="e">
        <f t="shared" si="41"/>
        <v>#DIV/0!</v>
      </c>
      <c r="K258" s="1">
        <f t="shared" si="51"/>
        <v>0</v>
      </c>
      <c r="L258" s="103">
        <f>SUM(L259:L261)</f>
        <v>0</v>
      </c>
      <c r="M258" s="103">
        <f t="shared" si="51"/>
        <v>0</v>
      </c>
      <c r="N258" s="103">
        <f t="shared" si="51"/>
        <v>0</v>
      </c>
      <c r="O258" s="117">
        <f t="shared" si="51"/>
        <v>0</v>
      </c>
      <c r="P258" s="25"/>
      <c r="Q258" s="1">
        <f t="shared" si="51"/>
        <v>100000</v>
      </c>
      <c r="R258" s="103">
        <f t="shared" si="42"/>
        <v>0</v>
      </c>
      <c r="S258" s="103">
        <f t="shared" si="43"/>
        <v>0</v>
      </c>
      <c r="T258" s="106">
        <f t="shared" si="44"/>
        <v>0</v>
      </c>
      <c r="U258" s="106">
        <f t="shared" si="45"/>
        <v>0</v>
      </c>
      <c r="V258" s="26" t="e">
        <f t="shared" si="46"/>
        <v>#DIV/0!</v>
      </c>
    </row>
    <row r="259" spans="3:22" s="20" customFormat="1" ht="59.25" customHeight="1" hidden="1">
      <c r="C259" s="27"/>
      <c r="D259" s="27"/>
      <c r="E259" s="27"/>
      <c r="F259" s="28" t="s">
        <v>79</v>
      </c>
      <c r="G259" s="104"/>
      <c r="H259" s="148"/>
      <c r="I259" s="148"/>
      <c r="J259" s="25" t="e">
        <f t="shared" si="41"/>
        <v>#DIV/0!</v>
      </c>
      <c r="K259" s="6"/>
      <c r="L259" s="103"/>
      <c r="M259" s="103"/>
      <c r="N259" s="103"/>
      <c r="O259" s="117"/>
      <c r="P259" s="25"/>
      <c r="Q259" s="1">
        <v>100000</v>
      </c>
      <c r="R259" s="103">
        <f t="shared" si="42"/>
        <v>0</v>
      </c>
      <c r="S259" s="103">
        <f t="shared" si="43"/>
        <v>0</v>
      </c>
      <c r="T259" s="106">
        <f t="shared" si="44"/>
        <v>0</v>
      </c>
      <c r="U259" s="106">
        <f t="shared" si="45"/>
        <v>0</v>
      </c>
      <c r="V259" s="26" t="e">
        <f t="shared" si="46"/>
        <v>#DIV/0!</v>
      </c>
    </row>
    <row r="260" spans="3:22" s="20" customFormat="1" ht="46.5" hidden="1">
      <c r="C260" s="27"/>
      <c r="D260" s="27"/>
      <c r="E260" s="27"/>
      <c r="F260" s="90" t="s">
        <v>56</v>
      </c>
      <c r="G260" s="103"/>
      <c r="H260" s="148"/>
      <c r="I260" s="147"/>
      <c r="J260" s="25" t="e">
        <f t="shared" si="41"/>
        <v>#DIV/0!</v>
      </c>
      <c r="K260" s="6"/>
      <c r="L260" s="104"/>
      <c r="M260" s="104"/>
      <c r="N260" s="104"/>
      <c r="O260" s="118"/>
      <c r="P260" s="25"/>
      <c r="Q260" s="6"/>
      <c r="R260" s="103">
        <f t="shared" si="42"/>
        <v>0</v>
      </c>
      <c r="S260" s="103">
        <f t="shared" si="43"/>
        <v>0</v>
      </c>
      <c r="T260" s="106">
        <f t="shared" si="44"/>
        <v>0</v>
      </c>
      <c r="U260" s="106">
        <f t="shared" si="45"/>
        <v>0</v>
      </c>
      <c r="V260" s="26" t="e">
        <f t="shared" si="46"/>
        <v>#DIV/0!</v>
      </c>
    </row>
    <row r="261" spans="3:22" s="20" customFormat="1" ht="30" customHeight="1" hidden="1">
      <c r="C261" s="27"/>
      <c r="D261" s="27"/>
      <c r="E261" s="27"/>
      <c r="F261" s="28" t="s">
        <v>319</v>
      </c>
      <c r="G261" s="104">
        <f>H261</f>
        <v>0</v>
      </c>
      <c r="H261" s="148"/>
      <c r="I261" s="147"/>
      <c r="J261" s="25" t="e">
        <f t="shared" si="41"/>
        <v>#DIV/0!</v>
      </c>
      <c r="K261" s="6"/>
      <c r="L261" s="104">
        <f t="shared" si="50"/>
        <v>0</v>
      </c>
      <c r="M261" s="104"/>
      <c r="N261" s="104"/>
      <c r="O261" s="118"/>
      <c r="P261" s="25"/>
      <c r="Q261" s="6"/>
      <c r="R261" s="103">
        <f t="shared" si="42"/>
        <v>0</v>
      </c>
      <c r="S261" s="103">
        <f t="shared" si="43"/>
        <v>0</v>
      </c>
      <c r="T261" s="106">
        <f t="shared" si="44"/>
        <v>0</v>
      </c>
      <c r="U261" s="106">
        <f t="shared" si="45"/>
        <v>0</v>
      </c>
      <c r="V261" s="26" t="e">
        <f t="shared" si="46"/>
        <v>#DIV/0!</v>
      </c>
    </row>
    <row r="262" spans="3:22" s="17" customFormat="1" ht="23.25" customHeight="1">
      <c r="C262" s="23" t="s">
        <v>311</v>
      </c>
      <c r="D262" s="23" t="s">
        <v>188</v>
      </c>
      <c r="E262" s="23" t="s">
        <v>55</v>
      </c>
      <c r="F262" s="40" t="s">
        <v>189</v>
      </c>
      <c r="G262" s="103">
        <f>SUM(G263:G268)</f>
        <v>698478</v>
      </c>
      <c r="H262" s="103">
        <f>SUM(H263:H268)</f>
        <v>480618</v>
      </c>
      <c r="I262" s="103">
        <f>SUM(I263:I268)</f>
        <v>696857</v>
      </c>
      <c r="J262" s="25">
        <f t="shared" si="41"/>
        <v>99.7679239718359</v>
      </c>
      <c r="K262" s="1">
        <f>SUM(K263:K268)</f>
        <v>0</v>
      </c>
      <c r="L262" s="103">
        <f>L265</f>
        <v>0</v>
      </c>
      <c r="M262" s="103">
        <f>M265</f>
        <v>0</v>
      </c>
      <c r="N262" s="103">
        <f>N265</f>
        <v>0</v>
      </c>
      <c r="O262" s="117">
        <f>O265</f>
        <v>0</v>
      </c>
      <c r="P262" s="25"/>
      <c r="Q262" s="1">
        <f>SUM(Q263:Q268)</f>
        <v>0</v>
      </c>
      <c r="R262" s="103">
        <f t="shared" si="42"/>
        <v>698478</v>
      </c>
      <c r="S262" s="103">
        <f t="shared" si="43"/>
        <v>480618</v>
      </c>
      <c r="T262" s="106">
        <f t="shared" si="44"/>
        <v>696857</v>
      </c>
      <c r="U262" s="106">
        <f t="shared" si="45"/>
        <v>0</v>
      </c>
      <c r="V262" s="26">
        <f t="shared" si="46"/>
        <v>99.7679239718359</v>
      </c>
    </row>
    <row r="263" spans="3:22" s="20" customFormat="1" ht="30.75">
      <c r="C263" s="27"/>
      <c r="D263" s="27"/>
      <c r="E263" s="27"/>
      <c r="F263" s="90" t="s">
        <v>507</v>
      </c>
      <c r="G263" s="103">
        <v>428478</v>
      </c>
      <c r="H263" s="104">
        <v>480618</v>
      </c>
      <c r="I263" s="103">
        <v>427113</v>
      </c>
      <c r="J263" s="25">
        <f t="shared" si="41"/>
        <v>99.6814305518603</v>
      </c>
      <c r="K263" s="6"/>
      <c r="L263" s="104">
        <f t="shared" si="50"/>
        <v>0</v>
      </c>
      <c r="M263" s="104"/>
      <c r="N263" s="104"/>
      <c r="O263" s="118"/>
      <c r="P263" s="25"/>
      <c r="Q263" s="6"/>
      <c r="R263" s="103">
        <f t="shared" si="42"/>
        <v>428478</v>
      </c>
      <c r="S263" s="103">
        <f t="shared" si="43"/>
        <v>480618</v>
      </c>
      <c r="T263" s="106">
        <f t="shared" si="44"/>
        <v>427113</v>
      </c>
      <c r="U263" s="106">
        <f t="shared" si="45"/>
        <v>0</v>
      </c>
      <c r="V263" s="26">
        <f t="shared" si="46"/>
        <v>99.6814305518603</v>
      </c>
    </row>
    <row r="264" spans="3:22" s="20" customFormat="1" ht="46.5">
      <c r="C264" s="27"/>
      <c r="D264" s="27"/>
      <c r="E264" s="27"/>
      <c r="F264" s="28" t="s">
        <v>21</v>
      </c>
      <c r="G264" s="103">
        <v>270000</v>
      </c>
      <c r="H264" s="148"/>
      <c r="I264" s="103">
        <v>269744</v>
      </c>
      <c r="J264" s="25">
        <f t="shared" si="41"/>
        <v>99.90518518518519</v>
      </c>
      <c r="K264" s="6"/>
      <c r="L264" s="104">
        <f t="shared" si="50"/>
        <v>0</v>
      </c>
      <c r="M264" s="104"/>
      <c r="N264" s="104"/>
      <c r="O264" s="118"/>
      <c r="P264" s="25"/>
      <c r="Q264" s="6"/>
      <c r="R264" s="103">
        <f t="shared" si="42"/>
        <v>270000</v>
      </c>
      <c r="S264" s="103">
        <f t="shared" si="43"/>
        <v>0</v>
      </c>
      <c r="T264" s="106">
        <f t="shared" si="44"/>
        <v>269744</v>
      </c>
      <c r="U264" s="106">
        <f t="shared" si="45"/>
        <v>0</v>
      </c>
      <c r="V264" s="26">
        <f t="shared" si="46"/>
        <v>99.90518518518519</v>
      </c>
    </row>
    <row r="265" spans="3:22" s="20" customFormat="1" ht="46.5" hidden="1">
      <c r="C265" s="27"/>
      <c r="D265" s="27"/>
      <c r="E265" s="27"/>
      <c r="F265" s="28" t="s">
        <v>16</v>
      </c>
      <c r="G265" s="104">
        <f aca="true" t="shared" si="52" ref="G265:G270">H265+K265</f>
        <v>0</v>
      </c>
      <c r="H265" s="148"/>
      <c r="I265" s="148"/>
      <c r="J265" s="25" t="e">
        <f t="shared" si="41"/>
        <v>#DIV/0!</v>
      </c>
      <c r="K265" s="6"/>
      <c r="L265" s="104"/>
      <c r="M265" s="104"/>
      <c r="N265" s="104"/>
      <c r="O265" s="118"/>
      <c r="P265" s="25" t="e">
        <f aca="true" t="shared" si="53" ref="P265:P272">N265/L265*100</f>
        <v>#DIV/0!</v>
      </c>
      <c r="Q265" s="6"/>
      <c r="R265" s="103">
        <f t="shared" si="42"/>
        <v>0</v>
      </c>
      <c r="S265" s="103">
        <f t="shared" si="43"/>
        <v>0</v>
      </c>
      <c r="T265" s="106">
        <f t="shared" si="44"/>
        <v>0</v>
      </c>
      <c r="U265" s="106">
        <f t="shared" si="45"/>
        <v>0</v>
      </c>
      <c r="V265" s="26" t="e">
        <f t="shared" si="46"/>
        <v>#DIV/0!</v>
      </c>
    </row>
    <row r="266" spans="3:22" s="20" customFormat="1" ht="30.75" hidden="1">
      <c r="C266" s="27"/>
      <c r="D266" s="27"/>
      <c r="E266" s="27"/>
      <c r="F266" s="28" t="s">
        <v>341</v>
      </c>
      <c r="G266" s="104">
        <f t="shared" si="52"/>
        <v>0</v>
      </c>
      <c r="H266" s="148"/>
      <c r="I266" s="148"/>
      <c r="J266" s="25" t="e">
        <f t="shared" si="41"/>
        <v>#DIV/0!</v>
      </c>
      <c r="K266" s="6"/>
      <c r="L266" s="104">
        <f t="shared" si="50"/>
        <v>0</v>
      </c>
      <c r="M266" s="104"/>
      <c r="N266" s="104"/>
      <c r="O266" s="118"/>
      <c r="P266" s="25" t="e">
        <f t="shared" si="53"/>
        <v>#DIV/0!</v>
      </c>
      <c r="Q266" s="6"/>
      <c r="R266" s="103">
        <f t="shared" si="42"/>
        <v>0</v>
      </c>
      <c r="S266" s="103">
        <f t="shared" si="43"/>
        <v>0</v>
      </c>
      <c r="T266" s="106">
        <f t="shared" si="44"/>
        <v>0</v>
      </c>
      <c r="U266" s="106">
        <f t="shared" si="45"/>
        <v>0</v>
      </c>
      <c r="V266" s="26" t="e">
        <f t="shared" si="46"/>
        <v>#DIV/0!</v>
      </c>
    </row>
    <row r="267" spans="3:22" s="20" customFormat="1" ht="30.75" hidden="1">
      <c r="C267" s="27"/>
      <c r="D267" s="27"/>
      <c r="E267" s="27"/>
      <c r="F267" s="28" t="s">
        <v>80</v>
      </c>
      <c r="G267" s="104">
        <f t="shared" si="52"/>
        <v>0</v>
      </c>
      <c r="H267" s="148"/>
      <c r="I267" s="148"/>
      <c r="J267" s="25" t="e">
        <f t="shared" si="41"/>
        <v>#DIV/0!</v>
      </c>
      <c r="K267" s="6"/>
      <c r="L267" s="104">
        <f t="shared" si="50"/>
        <v>0</v>
      </c>
      <c r="M267" s="104"/>
      <c r="N267" s="104"/>
      <c r="O267" s="118"/>
      <c r="P267" s="25" t="e">
        <f t="shared" si="53"/>
        <v>#DIV/0!</v>
      </c>
      <c r="Q267" s="6"/>
      <c r="R267" s="103">
        <f t="shared" si="42"/>
        <v>0</v>
      </c>
      <c r="S267" s="103">
        <f t="shared" si="43"/>
        <v>0</v>
      </c>
      <c r="T267" s="106">
        <f t="shared" si="44"/>
        <v>0</v>
      </c>
      <c r="U267" s="106">
        <f t="shared" si="45"/>
        <v>0</v>
      </c>
      <c r="V267" s="26" t="e">
        <f t="shared" si="46"/>
        <v>#DIV/0!</v>
      </c>
    </row>
    <row r="268" spans="3:22" s="20" customFormat="1" ht="47.25" hidden="1">
      <c r="C268" s="27"/>
      <c r="D268" s="27"/>
      <c r="E268" s="27"/>
      <c r="F268" s="28" t="s">
        <v>431</v>
      </c>
      <c r="G268" s="104">
        <f t="shared" si="52"/>
        <v>0</v>
      </c>
      <c r="H268" s="148"/>
      <c r="I268" s="148"/>
      <c r="J268" s="25" t="e">
        <f t="shared" si="41"/>
        <v>#DIV/0!</v>
      </c>
      <c r="K268" s="6"/>
      <c r="L268" s="104">
        <f t="shared" si="50"/>
        <v>0</v>
      </c>
      <c r="M268" s="104"/>
      <c r="N268" s="104"/>
      <c r="O268" s="118"/>
      <c r="P268" s="25" t="e">
        <f t="shared" si="53"/>
        <v>#DIV/0!</v>
      </c>
      <c r="Q268" s="6"/>
      <c r="R268" s="103">
        <f t="shared" si="42"/>
        <v>0</v>
      </c>
      <c r="S268" s="103">
        <f t="shared" si="43"/>
        <v>0</v>
      </c>
      <c r="T268" s="106">
        <f t="shared" si="44"/>
        <v>0</v>
      </c>
      <c r="U268" s="106">
        <f t="shared" si="45"/>
        <v>0</v>
      </c>
      <c r="V268" s="26" t="e">
        <f t="shared" si="46"/>
        <v>#DIV/0!</v>
      </c>
    </row>
    <row r="269" spans="3:22" s="17" customFormat="1" ht="21" customHeight="1" hidden="1">
      <c r="C269" s="23" t="s">
        <v>312</v>
      </c>
      <c r="D269" s="23" t="s">
        <v>192</v>
      </c>
      <c r="E269" s="23" t="s">
        <v>55</v>
      </c>
      <c r="F269" s="40" t="s">
        <v>193</v>
      </c>
      <c r="G269" s="103">
        <f t="shared" si="52"/>
        <v>0</v>
      </c>
      <c r="H269" s="147">
        <f>H270</f>
        <v>0</v>
      </c>
      <c r="I269" s="147">
        <f>I270</f>
        <v>0</v>
      </c>
      <c r="J269" s="25" t="e">
        <f t="shared" si="41"/>
        <v>#DIV/0!</v>
      </c>
      <c r="K269" s="1">
        <f>K270</f>
        <v>0</v>
      </c>
      <c r="L269" s="103">
        <f>M269+Q269</f>
        <v>0</v>
      </c>
      <c r="M269" s="103">
        <f>M270</f>
        <v>0</v>
      </c>
      <c r="N269" s="103">
        <f>N270</f>
        <v>0</v>
      </c>
      <c r="O269" s="117">
        <f>O270</f>
        <v>0</v>
      </c>
      <c r="P269" s="25" t="e">
        <f t="shared" si="53"/>
        <v>#DIV/0!</v>
      </c>
      <c r="Q269" s="1">
        <f>Q270</f>
        <v>0</v>
      </c>
      <c r="R269" s="103">
        <f t="shared" si="42"/>
        <v>0</v>
      </c>
      <c r="S269" s="103">
        <f t="shared" si="43"/>
        <v>0</v>
      </c>
      <c r="T269" s="106">
        <f t="shared" si="44"/>
        <v>0</v>
      </c>
      <c r="U269" s="106">
        <f t="shared" si="45"/>
        <v>0</v>
      </c>
      <c r="V269" s="26" t="e">
        <f t="shared" si="46"/>
        <v>#DIV/0!</v>
      </c>
    </row>
    <row r="270" spans="3:22" s="20" customFormat="1" ht="21" customHeight="1" hidden="1">
      <c r="C270" s="27"/>
      <c r="D270" s="27"/>
      <c r="E270" s="27"/>
      <c r="F270" s="28" t="s">
        <v>21</v>
      </c>
      <c r="G270" s="104">
        <f t="shared" si="52"/>
        <v>0</v>
      </c>
      <c r="H270" s="148"/>
      <c r="I270" s="148"/>
      <c r="J270" s="25" t="e">
        <f t="shared" si="41"/>
        <v>#DIV/0!</v>
      </c>
      <c r="K270" s="6"/>
      <c r="L270" s="104">
        <f>N270+Q270</f>
        <v>0</v>
      </c>
      <c r="M270" s="104"/>
      <c r="N270" s="104"/>
      <c r="O270" s="118"/>
      <c r="P270" s="25" t="e">
        <f t="shared" si="53"/>
        <v>#DIV/0!</v>
      </c>
      <c r="Q270" s="6"/>
      <c r="R270" s="103">
        <f t="shared" si="42"/>
        <v>0</v>
      </c>
      <c r="S270" s="103">
        <f t="shared" si="43"/>
        <v>0</v>
      </c>
      <c r="T270" s="106">
        <f t="shared" si="44"/>
        <v>0</v>
      </c>
      <c r="U270" s="106">
        <f t="shared" si="45"/>
        <v>0</v>
      </c>
      <c r="V270" s="26" t="e">
        <f t="shared" si="46"/>
        <v>#DIV/0!</v>
      </c>
    </row>
    <row r="271" spans="3:22" s="17" customFormat="1" ht="26.25" customHeight="1" hidden="1">
      <c r="C271" s="23" t="s">
        <v>313</v>
      </c>
      <c r="D271" s="23" t="s">
        <v>194</v>
      </c>
      <c r="E271" s="23" t="s">
        <v>55</v>
      </c>
      <c r="F271" s="40" t="s">
        <v>400</v>
      </c>
      <c r="G271" s="103">
        <f>SUM(G272:G273)</f>
        <v>0</v>
      </c>
      <c r="H271" s="147">
        <f>SUM(H272:H273)</f>
        <v>0</v>
      </c>
      <c r="I271" s="147">
        <f aca="true" t="shared" si="54" ref="I271:Q271">SUM(I272:I273)</f>
        <v>0</v>
      </c>
      <c r="J271" s="25" t="e">
        <f t="shared" si="41"/>
        <v>#DIV/0!</v>
      </c>
      <c r="K271" s="1">
        <f t="shared" si="54"/>
        <v>0</v>
      </c>
      <c r="L271" s="103">
        <f t="shared" si="54"/>
        <v>0</v>
      </c>
      <c r="M271" s="103">
        <f t="shared" si="54"/>
        <v>0</v>
      </c>
      <c r="N271" s="103">
        <f t="shared" si="54"/>
        <v>0</v>
      </c>
      <c r="O271" s="117">
        <f t="shared" si="54"/>
        <v>0</v>
      </c>
      <c r="P271" s="25" t="e">
        <f t="shared" si="53"/>
        <v>#DIV/0!</v>
      </c>
      <c r="Q271" s="1">
        <f t="shared" si="54"/>
        <v>8231700</v>
      </c>
      <c r="R271" s="103">
        <f t="shared" si="42"/>
        <v>0</v>
      </c>
      <c r="S271" s="103">
        <f t="shared" si="43"/>
        <v>0</v>
      </c>
      <c r="T271" s="106">
        <f t="shared" si="44"/>
        <v>0</v>
      </c>
      <c r="U271" s="106">
        <f t="shared" si="45"/>
        <v>0</v>
      </c>
      <c r="V271" s="26" t="e">
        <f t="shared" si="46"/>
        <v>#DIV/0!</v>
      </c>
    </row>
    <row r="272" spans="3:22" s="20" customFormat="1" ht="22.5" customHeight="1" hidden="1">
      <c r="C272" s="27"/>
      <c r="D272" s="27"/>
      <c r="E272" s="27"/>
      <c r="F272" s="28" t="s">
        <v>21</v>
      </c>
      <c r="G272" s="104"/>
      <c r="H272" s="148"/>
      <c r="I272" s="148"/>
      <c r="J272" s="25" t="e">
        <f t="shared" si="41"/>
        <v>#DIV/0!</v>
      </c>
      <c r="K272" s="6"/>
      <c r="L272" s="103"/>
      <c r="M272" s="103"/>
      <c r="N272" s="103"/>
      <c r="O272" s="117"/>
      <c r="P272" s="25" t="e">
        <f t="shared" si="53"/>
        <v>#DIV/0!</v>
      </c>
      <c r="Q272" s="1">
        <v>5525000</v>
      </c>
      <c r="R272" s="103">
        <f t="shared" si="42"/>
        <v>0</v>
      </c>
      <c r="S272" s="103">
        <f t="shared" si="43"/>
        <v>0</v>
      </c>
      <c r="T272" s="106">
        <f t="shared" si="44"/>
        <v>0</v>
      </c>
      <c r="U272" s="106">
        <f t="shared" si="45"/>
        <v>0</v>
      </c>
      <c r="V272" s="26" t="e">
        <f t="shared" si="46"/>
        <v>#DIV/0!</v>
      </c>
    </row>
    <row r="273" spans="3:22" s="20" customFormat="1" ht="21" customHeight="1" hidden="1">
      <c r="C273" s="27"/>
      <c r="D273" s="27"/>
      <c r="E273" s="27"/>
      <c r="F273" s="28" t="s">
        <v>388</v>
      </c>
      <c r="G273" s="104"/>
      <c r="H273" s="148"/>
      <c r="I273" s="148"/>
      <c r="J273" s="25" t="e">
        <f t="shared" si="41"/>
        <v>#DIV/0!</v>
      </c>
      <c r="K273" s="6"/>
      <c r="L273" s="103"/>
      <c r="M273" s="103"/>
      <c r="N273" s="103"/>
      <c r="O273" s="117"/>
      <c r="P273" s="25" t="e">
        <f aca="true" t="shared" si="55" ref="P273:P336">N273/L273*100</f>
        <v>#DIV/0!</v>
      </c>
      <c r="Q273" s="1">
        <v>2706700</v>
      </c>
      <c r="R273" s="103">
        <f t="shared" si="42"/>
        <v>0</v>
      </c>
      <c r="S273" s="103">
        <f t="shared" si="43"/>
        <v>0</v>
      </c>
      <c r="T273" s="106">
        <f t="shared" si="44"/>
        <v>0</v>
      </c>
      <c r="U273" s="106">
        <f t="shared" si="45"/>
        <v>0</v>
      </c>
      <c r="V273" s="26" t="e">
        <f t="shared" si="46"/>
        <v>#DIV/0!</v>
      </c>
    </row>
    <row r="274" spans="3:22" s="17" customFormat="1" ht="23.25" customHeight="1" hidden="1">
      <c r="C274" s="23" t="s">
        <v>314</v>
      </c>
      <c r="D274" s="23" t="s">
        <v>195</v>
      </c>
      <c r="E274" s="23" t="s">
        <v>55</v>
      </c>
      <c r="F274" s="40" t="s">
        <v>197</v>
      </c>
      <c r="G274" s="103">
        <f>H274+K274</f>
        <v>0</v>
      </c>
      <c r="H274" s="147">
        <f>H275</f>
        <v>0</v>
      </c>
      <c r="I274" s="147">
        <f>I275</f>
        <v>0</v>
      </c>
      <c r="J274" s="25" t="e">
        <f t="shared" si="41"/>
        <v>#DIV/0!</v>
      </c>
      <c r="K274" s="1">
        <f>K275</f>
        <v>0</v>
      </c>
      <c r="L274" s="103">
        <f>N274+Q274</f>
        <v>0</v>
      </c>
      <c r="M274" s="103">
        <f>M275</f>
        <v>0</v>
      </c>
      <c r="N274" s="103">
        <f>N275</f>
        <v>0</v>
      </c>
      <c r="O274" s="117">
        <f>O275</f>
        <v>0</v>
      </c>
      <c r="P274" s="25" t="e">
        <f t="shared" si="55"/>
        <v>#DIV/0!</v>
      </c>
      <c r="Q274" s="1">
        <f>Q275</f>
        <v>0</v>
      </c>
      <c r="R274" s="103">
        <f t="shared" si="42"/>
        <v>0</v>
      </c>
      <c r="S274" s="103">
        <f t="shared" si="43"/>
        <v>0</v>
      </c>
      <c r="T274" s="106">
        <f t="shared" si="44"/>
        <v>0</v>
      </c>
      <c r="U274" s="106">
        <f t="shared" si="45"/>
        <v>0</v>
      </c>
      <c r="V274" s="26" t="e">
        <f t="shared" si="46"/>
        <v>#DIV/0!</v>
      </c>
    </row>
    <row r="275" spans="3:22" s="20" customFormat="1" ht="24.75" customHeight="1" hidden="1">
      <c r="C275" s="27"/>
      <c r="D275" s="27"/>
      <c r="E275" s="27"/>
      <c r="F275" s="28" t="s">
        <v>198</v>
      </c>
      <c r="G275" s="104">
        <f>H275+K275</f>
        <v>0</v>
      </c>
      <c r="H275" s="148"/>
      <c r="I275" s="148"/>
      <c r="J275" s="25" t="e">
        <f t="shared" si="41"/>
        <v>#DIV/0!</v>
      </c>
      <c r="K275" s="6"/>
      <c r="L275" s="104">
        <f>N275+Q275</f>
        <v>0</v>
      </c>
      <c r="M275" s="104"/>
      <c r="N275" s="104"/>
      <c r="O275" s="118"/>
      <c r="P275" s="25" t="e">
        <f t="shared" si="55"/>
        <v>#DIV/0!</v>
      </c>
      <c r="Q275" s="6"/>
      <c r="R275" s="103">
        <f t="shared" si="42"/>
        <v>0</v>
      </c>
      <c r="S275" s="103">
        <f t="shared" si="43"/>
        <v>0</v>
      </c>
      <c r="T275" s="106">
        <f t="shared" si="44"/>
        <v>0</v>
      </c>
      <c r="U275" s="106">
        <f t="shared" si="45"/>
        <v>0</v>
      </c>
      <c r="V275" s="26" t="e">
        <f t="shared" si="46"/>
        <v>#DIV/0!</v>
      </c>
    </row>
    <row r="276" spans="3:22" s="17" customFormat="1" ht="27" customHeight="1" hidden="1">
      <c r="C276" s="23" t="s">
        <v>315</v>
      </c>
      <c r="D276" s="23" t="s">
        <v>196</v>
      </c>
      <c r="E276" s="23" t="s">
        <v>55</v>
      </c>
      <c r="F276" s="40" t="s">
        <v>199</v>
      </c>
      <c r="G276" s="103">
        <f>H276+K276</f>
        <v>0</v>
      </c>
      <c r="H276" s="147"/>
      <c r="I276" s="147"/>
      <c r="J276" s="25" t="e">
        <f t="shared" si="41"/>
        <v>#DIV/0!</v>
      </c>
      <c r="K276" s="1"/>
      <c r="L276" s="103">
        <f>N276+Q276</f>
        <v>0</v>
      </c>
      <c r="M276" s="103"/>
      <c r="N276" s="103"/>
      <c r="O276" s="117"/>
      <c r="P276" s="25" t="e">
        <f t="shared" si="55"/>
        <v>#DIV/0!</v>
      </c>
      <c r="Q276" s="1"/>
      <c r="R276" s="103">
        <f t="shared" si="42"/>
        <v>0</v>
      </c>
      <c r="S276" s="103">
        <f t="shared" si="43"/>
        <v>0</v>
      </c>
      <c r="T276" s="106">
        <f t="shared" si="44"/>
        <v>0</v>
      </c>
      <c r="U276" s="106">
        <f t="shared" si="45"/>
        <v>0</v>
      </c>
      <c r="V276" s="26" t="e">
        <f t="shared" si="46"/>
        <v>#DIV/0!</v>
      </c>
    </row>
    <row r="277" spans="1:22" s="17" customFormat="1" ht="36" customHeight="1">
      <c r="A277" s="17">
        <v>4</v>
      </c>
      <c r="B277" s="17">
        <v>40</v>
      </c>
      <c r="C277" s="23" t="s">
        <v>290</v>
      </c>
      <c r="D277" s="23" t="s">
        <v>54</v>
      </c>
      <c r="E277" s="23" t="s">
        <v>55</v>
      </c>
      <c r="F277" s="24" t="s">
        <v>190</v>
      </c>
      <c r="G277" s="103">
        <f>SUM(G278:G285)</f>
        <v>29449054</v>
      </c>
      <c r="H277" s="103">
        <f>SUM(H278:H285)</f>
        <v>24902099</v>
      </c>
      <c r="I277" s="103">
        <f>SUM(I278:I285)</f>
        <v>29250980.89</v>
      </c>
      <c r="J277" s="25">
        <f t="shared" si="41"/>
        <v>99.32740416721026</v>
      </c>
      <c r="K277" s="1"/>
      <c r="L277" s="103">
        <f aca="true" t="shared" si="56" ref="L277:Q277">SUM(L278:L285)</f>
        <v>1703428</v>
      </c>
      <c r="M277" s="103">
        <f t="shared" si="56"/>
        <v>1753499</v>
      </c>
      <c r="N277" s="103">
        <f t="shared" si="56"/>
        <v>1697921.1600000001</v>
      </c>
      <c r="O277" s="117">
        <f t="shared" si="56"/>
        <v>1697921.1600000001</v>
      </c>
      <c r="P277" s="25">
        <f t="shared" si="55"/>
        <v>99.67672011966458</v>
      </c>
      <c r="Q277" s="1">
        <f t="shared" si="56"/>
        <v>600000</v>
      </c>
      <c r="R277" s="103">
        <f t="shared" si="42"/>
        <v>31152482</v>
      </c>
      <c r="S277" s="103">
        <f t="shared" si="43"/>
        <v>26655598</v>
      </c>
      <c r="T277" s="106">
        <f t="shared" si="44"/>
        <v>30948902.05</v>
      </c>
      <c r="U277" s="106">
        <f t="shared" si="45"/>
        <v>1697921.1600000001</v>
      </c>
      <c r="V277" s="26">
        <f t="shared" si="46"/>
        <v>99.3465048788087</v>
      </c>
    </row>
    <row r="278" spans="3:22" s="20" customFormat="1" ht="51" customHeight="1">
      <c r="C278" s="27"/>
      <c r="D278" s="27"/>
      <c r="E278" s="27"/>
      <c r="F278" s="28" t="s">
        <v>21</v>
      </c>
      <c r="G278" s="103">
        <f>3478002+24780140+49500</f>
        <v>28307642</v>
      </c>
      <c r="H278" s="103">
        <f>4288829+19602370+49500</f>
        <v>23940699</v>
      </c>
      <c r="I278" s="103">
        <v>28112503.52</v>
      </c>
      <c r="J278" s="25">
        <f t="shared" si="41"/>
        <v>99.31065088360238</v>
      </c>
      <c r="K278" s="6"/>
      <c r="L278" s="103">
        <f>97000+50000</f>
        <v>147000</v>
      </c>
      <c r="M278" s="103">
        <f>146999+50000</f>
        <v>196999</v>
      </c>
      <c r="N278" s="103">
        <f>93744.65+47818.91</f>
        <v>141563.56</v>
      </c>
      <c r="O278" s="117">
        <f>N278</f>
        <v>141563.56</v>
      </c>
      <c r="P278" s="25">
        <f t="shared" si="55"/>
        <v>96.30174149659864</v>
      </c>
      <c r="Q278" s="1">
        <v>500000</v>
      </c>
      <c r="R278" s="103">
        <f t="shared" si="42"/>
        <v>28454642</v>
      </c>
      <c r="S278" s="103">
        <f t="shared" si="43"/>
        <v>24137698</v>
      </c>
      <c r="T278" s="106">
        <f t="shared" si="44"/>
        <v>28254067.08</v>
      </c>
      <c r="U278" s="106">
        <f t="shared" si="45"/>
        <v>141563.56</v>
      </c>
      <c r="V278" s="26">
        <f t="shared" si="46"/>
        <v>99.29510650669933</v>
      </c>
    </row>
    <row r="279" spans="3:22" s="20" customFormat="1" ht="63.75" customHeight="1" hidden="1">
      <c r="C279" s="27"/>
      <c r="D279" s="27"/>
      <c r="E279" s="27"/>
      <c r="F279" s="31" t="s">
        <v>79</v>
      </c>
      <c r="G279" s="104">
        <f>H279+K279</f>
        <v>0</v>
      </c>
      <c r="H279" s="104">
        <v>0</v>
      </c>
      <c r="I279" s="104"/>
      <c r="J279" s="25" t="e">
        <f t="shared" si="41"/>
        <v>#DIV/0!</v>
      </c>
      <c r="K279" s="6"/>
      <c r="L279" s="104">
        <f>N279+Q279</f>
        <v>0</v>
      </c>
      <c r="M279" s="104"/>
      <c r="N279" s="104"/>
      <c r="O279" s="117">
        <f>N279</f>
        <v>0</v>
      </c>
      <c r="P279" s="25" t="e">
        <f t="shared" si="55"/>
        <v>#DIV/0!</v>
      </c>
      <c r="Q279" s="6"/>
      <c r="R279" s="103">
        <f t="shared" si="42"/>
        <v>0</v>
      </c>
      <c r="S279" s="103">
        <f t="shared" si="43"/>
        <v>0</v>
      </c>
      <c r="T279" s="106">
        <f t="shared" si="44"/>
        <v>0</v>
      </c>
      <c r="U279" s="106">
        <f t="shared" si="45"/>
        <v>0</v>
      </c>
      <c r="V279" s="26" t="e">
        <f t="shared" si="46"/>
        <v>#DIV/0!</v>
      </c>
    </row>
    <row r="280" spans="3:22" s="20" customFormat="1" ht="51" customHeight="1" hidden="1">
      <c r="C280" s="27"/>
      <c r="D280" s="27"/>
      <c r="E280" s="27"/>
      <c r="F280" s="28" t="s">
        <v>56</v>
      </c>
      <c r="G280" s="104"/>
      <c r="H280" s="104"/>
      <c r="I280" s="104"/>
      <c r="J280" s="25" t="e">
        <f t="shared" si="41"/>
        <v>#DIV/0!</v>
      </c>
      <c r="K280" s="6"/>
      <c r="L280" s="104"/>
      <c r="M280" s="104"/>
      <c r="N280" s="104"/>
      <c r="O280" s="117"/>
      <c r="P280" s="25" t="e">
        <f t="shared" si="55"/>
        <v>#DIV/0!</v>
      </c>
      <c r="Q280" s="6"/>
      <c r="R280" s="103">
        <f t="shared" si="42"/>
        <v>0</v>
      </c>
      <c r="S280" s="103">
        <f t="shared" si="43"/>
        <v>0</v>
      </c>
      <c r="T280" s="106">
        <f t="shared" si="44"/>
        <v>0</v>
      </c>
      <c r="U280" s="106">
        <f t="shared" si="45"/>
        <v>0</v>
      </c>
      <c r="V280" s="26" t="e">
        <f t="shared" si="46"/>
        <v>#DIV/0!</v>
      </c>
    </row>
    <row r="281" spans="3:22" s="20" customFormat="1" ht="36.75" customHeight="1">
      <c r="C281" s="27"/>
      <c r="D281" s="27"/>
      <c r="E281" s="27"/>
      <c r="F281" s="31" t="s">
        <v>341</v>
      </c>
      <c r="G281" s="103">
        <v>77400</v>
      </c>
      <c r="H281" s="103">
        <v>77400</v>
      </c>
      <c r="I281" s="103">
        <v>76784.23</v>
      </c>
      <c r="J281" s="25">
        <f t="shared" si="41"/>
        <v>99.2044315245478</v>
      </c>
      <c r="K281" s="6"/>
      <c r="L281" s="103">
        <v>32200</v>
      </c>
      <c r="M281" s="103">
        <v>32200</v>
      </c>
      <c r="N281" s="103">
        <v>32200</v>
      </c>
      <c r="O281" s="117">
        <f>N281</f>
        <v>32200</v>
      </c>
      <c r="P281" s="25">
        <f t="shared" si="55"/>
        <v>100</v>
      </c>
      <c r="Q281" s="6"/>
      <c r="R281" s="103">
        <f t="shared" si="42"/>
        <v>109600</v>
      </c>
      <c r="S281" s="103">
        <f t="shared" si="43"/>
        <v>109600</v>
      </c>
      <c r="T281" s="106">
        <f t="shared" si="44"/>
        <v>108984.23</v>
      </c>
      <c r="U281" s="106">
        <f t="shared" si="45"/>
        <v>32200</v>
      </c>
      <c r="V281" s="26">
        <f t="shared" si="46"/>
        <v>99.43816605839416</v>
      </c>
    </row>
    <row r="282" spans="3:22" s="20" customFormat="1" ht="33" customHeight="1">
      <c r="C282" s="27"/>
      <c r="D282" s="27"/>
      <c r="E282" s="27"/>
      <c r="F282" s="90" t="s">
        <v>507</v>
      </c>
      <c r="G282" s="104">
        <v>31940</v>
      </c>
      <c r="H282" s="104">
        <v>47500</v>
      </c>
      <c r="I282" s="104">
        <v>31933.18</v>
      </c>
      <c r="J282" s="25">
        <f t="shared" si="41"/>
        <v>99.978647463995</v>
      </c>
      <c r="K282" s="6"/>
      <c r="L282" s="104">
        <f>N282+Q282</f>
        <v>0</v>
      </c>
      <c r="M282" s="104"/>
      <c r="N282" s="104"/>
      <c r="O282" s="117">
        <f>N282</f>
        <v>0</v>
      </c>
      <c r="P282" s="25"/>
      <c r="Q282" s="6"/>
      <c r="R282" s="103">
        <f t="shared" si="42"/>
        <v>31940</v>
      </c>
      <c r="S282" s="103">
        <f t="shared" si="43"/>
        <v>47500</v>
      </c>
      <c r="T282" s="106">
        <f t="shared" si="44"/>
        <v>31933.18</v>
      </c>
      <c r="U282" s="106">
        <f t="shared" si="45"/>
        <v>0</v>
      </c>
      <c r="V282" s="26">
        <f t="shared" si="46"/>
        <v>99.978647463995</v>
      </c>
    </row>
    <row r="283" spans="3:22" s="20" customFormat="1" ht="42.75" customHeight="1">
      <c r="C283" s="27"/>
      <c r="D283" s="27"/>
      <c r="E283" s="27"/>
      <c r="F283" s="31" t="s">
        <v>77</v>
      </c>
      <c r="G283" s="103">
        <v>205000</v>
      </c>
      <c r="H283" s="103">
        <v>198000</v>
      </c>
      <c r="I283" s="103">
        <v>203716.5</v>
      </c>
      <c r="J283" s="25">
        <f t="shared" si="41"/>
        <v>99.37390243902439</v>
      </c>
      <c r="K283" s="6"/>
      <c r="L283" s="103">
        <v>1443000</v>
      </c>
      <c r="M283" s="103">
        <v>1450000</v>
      </c>
      <c r="N283" s="103">
        <v>1443000</v>
      </c>
      <c r="O283" s="117">
        <f>N283</f>
        <v>1443000</v>
      </c>
      <c r="P283" s="25">
        <f t="shared" si="55"/>
        <v>100</v>
      </c>
      <c r="Q283" s="1">
        <v>100000</v>
      </c>
      <c r="R283" s="103">
        <f t="shared" si="42"/>
        <v>1648000</v>
      </c>
      <c r="S283" s="103">
        <f t="shared" si="43"/>
        <v>1648000</v>
      </c>
      <c r="T283" s="106">
        <f t="shared" si="44"/>
        <v>1646716.5</v>
      </c>
      <c r="U283" s="106">
        <f t="shared" si="45"/>
        <v>1443000</v>
      </c>
      <c r="V283" s="26">
        <f t="shared" si="46"/>
        <v>99.9221177184466</v>
      </c>
    </row>
    <row r="284" spans="3:22" s="20" customFormat="1" ht="36" customHeight="1" hidden="1">
      <c r="C284" s="27"/>
      <c r="D284" s="27"/>
      <c r="E284" s="27"/>
      <c r="F284" s="31" t="s">
        <v>17</v>
      </c>
      <c r="G284" s="104">
        <f>H284+K284</f>
        <v>0</v>
      </c>
      <c r="H284" s="104">
        <v>0</v>
      </c>
      <c r="I284" s="104">
        <v>0</v>
      </c>
      <c r="J284" s="25" t="e">
        <f aca="true" t="shared" si="57" ref="J284:J346">I284/G284*100</f>
        <v>#DIV/0!</v>
      </c>
      <c r="K284" s="6"/>
      <c r="L284" s="104">
        <f>N284+Q284</f>
        <v>0</v>
      </c>
      <c r="M284" s="104"/>
      <c r="N284" s="104"/>
      <c r="O284" s="118"/>
      <c r="P284" s="25" t="e">
        <f t="shared" si="55"/>
        <v>#DIV/0!</v>
      </c>
      <c r="Q284" s="6"/>
      <c r="R284" s="103">
        <f aca="true" t="shared" si="58" ref="R284:R349">G284+L284</f>
        <v>0</v>
      </c>
      <c r="S284" s="103">
        <f aca="true" t="shared" si="59" ref="S284:S349">H284+M284</f>
        <v>0</v>
      </c>
      <c r="T284" s="106">
        <f aca="true" t="shared" si="60" ref="T284:T349">I284+N284</f>
        <v>0</v>
      </c>
      <c r="U284" s="106">
        <f aca="true" t="shared" si="61" ref="U284:U349">O284</f>
        <v>0</v>
      </c>
      <c r="V284" s="26" t="e">
        <f aca="true" t="shared" si="62" ref="V284:V349">T284/R284*100</f>
        <v>#DIV/0!</v>
      </c>
    </row>
    <row r="285" spans="3:22" s="20" customFormat="1" ht="54.75" customHeight="1">
      <c r="C285" s="27"/>
      <c r="D285" s="27"/>
      <c r="E285" s="27"/>
      <c r="F285" s="31" t="s">
        <v>78</v>
      </c>
      <c r="G285" s="103">
        <v>827072</v>
      </c>
      <c r="H285" s="103">
        <v>638500</v>
      </c>
      <c r="I285" s="103">
        <v>826043.46</v>
      </c>
      <c r="J285" s="25">
        <f t="shared" si="57"/>
        <v>99.87564081482627</v>
      </c>
      <c r="K285" s="6"/>
      <c r="L285" s="103">
        <v>81228</v>
      </c>
      <c r="M285" s="103">
        <v>74300</v>
      </c>
      <c r="N285" s="103">
        <v>81157.6</v>
      </c>
      <c r="O285" s="117">
        <f>N285</f>
        <v>81157.6</v>
      </c>
      <c r="P285" s="25">
        <f t="shared" si="55"/>
        <v>99.91333037868716</v>
      </c>
      <c r="Q285" s="6"/>
      <c r="R285" s="103">
        <f t="shared" si="58"/>
        <v>908300</v>
      </c>
      <c r="S285" s="103">
        <f t="shared" si="59"/>
        <v>712800</v>
      </c>
      <c r="T285" s="106">
        <f t="shared" si="60"/>
        <v>907201.0599999999</v>
      </c>
      <c r="U285" s="106">
        <f t="shared" si="61"/>
        <v>81157.6</v>
      </c>
      <c r="V285" s="26">
        <f t="shared" si="62"/>
        <v>99.87901133986567</v>
      </c>
    </row>
    <row r="286" spans="3:22" s="20" customFormat="1" ht="32.25" customHeight="1">
      <c r="C286" s="23" t="s">
        <v>299</v>
      </c>
      <c r="D286" s="23" t="s">
        <v>300</v>
      </c>
      <c r="E286" s="23" t="s">
        <v>55</v>
      </c>
      <c r="F286" s="24" t="s">
        <v>301</v>
      </c>
      <c r="G286" s="103">
        <f>G287</f>
        <v>71000</v>
      </c>
      <c r="H286" s="103">
        <f>H287</f>
        <v>52623</v>
      </c>
      <c r="I286" s="103">
        <f>I287</f>
        <v>63573.96</v>
      </c>
      <c r="J286" s="25">
        <f t="shared" si="57"/>
        <v>89.54078873239436</v>
      </c>
      <c r="K286" s="1">
        <f aca="true" t="shared" si="63" ref="K286:Q286">K287</f>
        <v>0</v>
      </c>
      <c r="L286" s="103">
        <f t="shared" si="63"/>
        <v>0</v>
      </c>
      <c r="M286" s="103">
        <f t="shared" si="63"/>
        <v>0</v>
      </c>
      <c r="N286" s="103">
        <f t="shared" si="63"/>
        <v>0</v>
      </c>
      <c r="O286" s="117">
        <f t="shared" si="63"/>
        <v>0</v>
      </c>
      <c r="P286" s="25"/>
      <c r="Q286" s="1">
        <f t="shared" si="63"/>
        <v>0</v>
      </c>
      <c r="R286" s="103">
        <f t="shared" si="58"/>
        <v>71000</v>
      </c>
      <c r="S286" s="103">
        <f t="shared" si="59"/>
        <v>52623</v>
      </c>
      <c r="T286" s="106">
        <f t="shared" si="60"/>
        <v>63573.96</v>
      </c>
      <c r="U286" s="106">
        <f t="shared" si="61"/>
        <v>0</v>
      </c>
      <c r="V286" s="26">
        <f t="shared" si="62"/>
        <v>89.54078873239436</v>
      </c>
    </row>
    <row r="287" spans="3:22" s="20" customFormat="1" ht="45" customHeight="1">
      <c r="C287" s="27"/>
      <c r="D287" s="27"/>
      <c r="E287" s="27"/>
      <c r="F287" s="31" t="s">
        <v>302</v>
      </c>
      <c r="G287" s="103">
        <v>71000</v>
      </c>
      <c r="H287" s="103">
        <v>52623</v>
      </c>
      <c r="I287" s="103">
        <v>63573.96</v>
      </c>
      <c r="J287" s="25">
        <f t="shared" si="57"/>
        <v>89.54078873239436</v>
      </c>
      <c r="K287" s="6"/>
      <c r="L287" s="104"/>
      <c r="M287" s="104"/>
      <c r="N287" s="104"/>
      <c r="O287" s="118"/>
      <c r="P287" s="25"/>
      <c r="Q287" s="6"/>
      <c r="R287" s="103">
        <f t="shared" si="58"/>
        <v>71000</v>
      </c>
      <c r="S287" s="103">
        <f t="shared" si="59"/>
        <v>52623</v>
      </c>
      <c r="T287" s="106">
        <f t="shared" si="60"/>
        <v>63573.96</v>
      </c>
      <c r="U287" s="106">
        <f t="shared" si="61"/>
        <v>0</v>
      </c>
      <c r="V287" s="26">
        <f t="shared" si="62"/>
        <v>89.54078873239436</v>
      </c>
    </row>
    <row r="288" spans="3:22" s="20" customFormat="1" ht="30" customHeight="1">
      <c r="C288" s="23" t="s">
        <v>303</v>
      </c>
      <c r="D288" s="23" t="s">
        <v>258</v>
      </c>
      <c r="E288" s="23" t="s">
        <v>87</v>
      </c>
      <c r="F288" s="24" t="s">
        <v>259</v>
      </c>
      <c r="G288" s="103">
        <f>G289</f>
        <v>715520</v>
      </c>
      <c r="H288" s="103">
        <f>H289</f>
        <v>616000</v>
      </c>
      <c r="I288" s="103">
        <f>I289</f>
        <v>715423.4</v>
      </c>
      <c r="J288" s="25">
        <f t="shared" si="57"/>
        <v>99.98649932915922</v>
      </c>
      <c r="K288" s="1">
        <f>K289</f>
        <v>0</v>
      </c>
      <c r="L288" s="103">
        <f>N288+Q288</f>
        <v>0</v>
      </c>
      <c r="M288" s="103">
        <f>M289</f>
        <v>0</v>
      </c>
      <c r="N288" s="103">
        <f>N289</f>
        <v>0</v>
      </c>
      <c r="O288" s="117">
        <f>O289</f>
        <v>0</v>
      </c>
      <c r="P288" s="25"/>
      <c r="Q288" s="1">
        <f>Q289</f>
        <v>0</v>
      </c>
      <c r="R288" s="103">
        <f t="shared" si="58"/>
        <v>715520</v>
      </c>
      <c r="S288" s="103">
        <f t="shared" si="59"/>
        <v>616000</v>
      </c>
      <c r="T288" s="106">
        <f t="shared" si="60"/>
        <v>715423.4</v>
      </c>
      <c r="U288" s="106">
        <f t="shared" si="61"/>
        <v>0</v>
      </c>
      <c r="V288" s="26">
        <f t="shared" si="62"/>
        <v>99.98649932915922</v>
      </c>
    </row>
    <row r="289" spans="3:22" s="20" customFormat="1" ht="53.25" customHeight="1">
      <c r="C289" s="27"/>
      <c r="D289" s="27"/>
      <c r="E289" s="27"/>
      <c r="F289" s="31" t="s">
        <v>78</v>
      </c>
      <c r="G289" s="103">
        <v>715520</v>
      </c>
      <c r="H289" s="103">
        <v>616000</v>
      </c>
      <c r="I289" s="103">
        <v>715423.4</v>
      </c>
      <c r="J289" s="25">
        <f t="shared" si="57"/>
        <v>99.98649932915922</v>
      </c>
      <c r="K289" s="6"/>
      <c r="L289" s="104"/>
      <c r="M289" s="104"/>
      <c r="N289" s="104"/>
      <c r="O289" s="118"/>
      <c r="P289" s="25"/>
      <c r="Q289" s="6"/>
      <c r="R289" s="103">
        <f t="shared" si="58"/>
        <v>715520</v>
      </c>
      <c r="S289" s="103">
        <f t="shared" si="59"/>
        <v>616000</v>
      </c>
      <c r="T289" s="106">
        <f t="shared" si="60"/>
        <v>715423.4</v>
      </c>
      <c r="U289" s="106">
        <f t="shared" si="61"/>
        <v>0</v>
      </c>
      <c r="V289" s="26">
        <f t="shared" si="62"/>
        <v>99.98649932915922</v>
      </c>
    </row>
    <row r="290" spans="1:22" s="17" customFormat="1" ht="30.75" customHeight="1">
      <c r="A290" s="29">
        <v>8</v>
      </c>
      <c r="B290" s="17">
        <v>41</v>
      </c>
      <c r="C290" s="23" t="s">
        <v>291</v>
      </c>
      <c r="D290" s="23" t="s">
        <v>69</v>
      </c>
      <c r="E290" s="23" t="s">
        <v>108</v>
      </c>
      <c r="F290" s="24" t="s">
        <v>202</v>
      </c>
      <c r="G290" s="103">
        <f>SUM(G291:G294)</f>
        <v>0</v>
      </c>
      <c r="H290" s="103">
        <f>SUM(H291:H294)</f>
        <v>0</v>
      </c>
      <c r="I290" s="103">
        <f aca="true" t="shared" si="64" ref="I290:Q290">SUM(I291:I294)</f>
        <v>0</v>
      </c>
      <c r="J290" s="25"/>
      <c r="K290" s="1">
        <f t="shared" si="64"/>
        <v>0</v>
      </c>
      <c r="L290" s="103">
        <f t="shared" si="64"/>
        <v>17654612</v>
      </c>
      <c r="M290" s="103">
        <f t="shared" si="64"/>
        <v>19546025</v>
      </c>
      <c r="N290" s="103">
        <f t="shared" si="64"/>
        <v>16486586.030000001</v>
      </c>
      <c r="O290" s="117">
        <f t="shared" si="64"/>
        <v>16486586.030000001</v>
      </c>
      <c r="P290" s="25">
        <f t="shared" si="55"/>
        <v>93.38401789855251</v>
      </c>
      <c r="Q290" s="1">
        <f t="shared" si="64"/>
        <v>4000000</v>
      </c>
      <c r="R290" s="103">
        <f t="shared" si="58"/>
        <v>17654612</v>
      </c>
      <c r="S290" s="103">
        <f t="shared" si="59"/>
        <v>19546025</v>
      </c>
      <c r="T290" s="106">
        <f t="shared" si="60"/>
        <v>16486586.030000001</v>
      </c>
      <c r="U290" s="106">
        <f t="shared" si="61"/>
        <v>16486586.030000001</v>
      </c>
      <c r="V290" s="26">
        <f t="shared" si="62"/>
        <v>93.38401789855251</v>
      </c>
    </row>
    <row r="291" spans="3:22" s="20" customFormat="1" ht="54.75" customHeight="1">
      <c r="C291" s="27"/>
      <c r="D291" s="27"/>
      <c r="E291" s="27"/>
      <c r="F291" s="31" t="s">
        <v>391</v>
      </c>
      <c r="G291" s="104">
        <f aca="true" t="shared" si="65" ref="G291:G296">H291+K291</f>
        <v>0</v>
      </c>
      <c r="H291" s="104"/>
      <c r="I291" s="104"/>
      <c r="J291" s="25"/>
      <c r="K291" s="6"/>
      <c r="L291" s="103">
        <v>3347941</v>
      </c>
      <c r="M291" s="103">
        <v>4781704</v>
      </c>
      <c r="N291" s="103">
        <v>2465758.2</v>
      </c>
      <c r="O291" s="117">
        <f>N291</f>
        <v>2465758.2</v>
      </c>
      <c r="P291" s="25">
        <f t="shared" si="55"/>
        <v>73.64998965035525</v>
      </c>
      <c r="Q291" s="1">
        <f>1325000+1400000</f>
        <v>2725000</v>
      </c>
      <c r="R291" s="103">
        <f t="shared" si="58"/>
        <v>3347941</v>
      </c>
      <c r="S291" s="103">
        <f t="shared" si="59"/>
        <v>4781704</v>
      </c>
      <c r="T291" s="106">
        <f t="shared" si="60"/>
        <v>2465758.2</v>
      </c>
      <c r="U291" s="106">
        <f t="shared" si="61"/>
        <v>2465758.2</v>
      </c>
      <c r="V291" s="26">
        <f t="shared" si="62"/>
        <v>73.64998965035525</v>
      </c>
    </row>
    <row r="292" spans="3:22" s="20" customFormat="1" ht="39" customHeight="1">
      <c r="C292" s="27"/>
      <c r="D292" s="27"/>
      <c r="E292" s="27"/>
      <c r="F292" s="37" t="s">
        <v>388</v>
      </c>
      <c r="G292" s="104">
        <f t="shared" si="65"/>
        <v>0</v>
      </c>
      <c r="H292" s="104"/>
      <c r="I292" s="104"/>
      <c r="J292" s="25"/>
      <c r="K292" s="6"/>
      <c r="L292" s="103">
        <v>11408592</v>
      </c>
      <c r="M292" s="103">
        <v>11821242</v>
      </c>
      <c r="N292" s="103">
        <v>11140011.19</v>
      </c>
      <c r="O292" s="117">
        <f>N292</f>
        <v>11140011.19</v>
      </c>
      <c r="P292" s="25">
        <f t="shared" si="55"/>
        <v>97.64580230408801</v>
      </c>
      <c r="Q292" s="1">
        <v>1275000</v>
      </c>
      <c r="R292" s="103">
        <f t="shared" si="58"/>
        <v>11408592</v>
      </c>
      <c r="S292" s="103">
        <f t="shared" si="59"/>
        <v>11821242</v>
      </c>
      <c r="T292" s="106">
        <f t="shared" si="60"/>
        <v>11140011.19</v>
      </c>
      <c r="U292" s="106">
        <f t="shared" si="61"/>
        <v>11140011.19</v>
      </c>
      <c r="V292" s="26">
        <f t="shared" si="62"/>
        <v>97.64580230408801</v>
      </c>
    </row>
    <row r="293" spans="3:22" s="20" customFormat="1" ht="54.75" customHeight="1">
      <c r="C293" s="27"/>
      <c r="D293" s="27"/>
      <c r="E293" s="27"/>
      <c r="F293" s="28" t="s">
        <v>21</v>
      </c>
      <c r="G293" s="103">
        <f t="shared" si="65"/>
        <v>0</v>
      </c>
      <c r="H293" s="104"/>
      <c r="I293" s="104"/>
      <c r="J293" s="25"/>
      <c r="K293" s="6"/>
      <c r="L293" s="103">
        <v>2898079</v>
      </c>
      <c r="M293" s="103">
        <v>2943079</v>
      </c>
      <c r="N293" s="103">
        <v>2880816.64</v>
      </c>
      <c r="O293" s="117">
        <f>N293</f>
        <v>2880816.64</v>
      </c>
      <c r="P293" s="25">
        <f t="shared" si="55"/>
        <v>99.40435164120785</v>
      </c>
      <c r="Q293" s="6"/>
      <c r="R293" s="103">
        <f t="shared" si="58"/>
        <v>2898079</v>
      </c>
      <c r="S293" s="103">
        <f t="shared" si="59"/>
        <v>2943079</v>
      </c>
      <c r="T293" s="106">
        <f t="shared" si="60"/>
        <v>2880816.64</v>
      </c>
      <c r="U293" s="106">
        <f t="shared" si="61"/>
        <v>2880816.64</v>
      </c>
      <c r="V293" s="26">
        <f t="shared" si="62"/>
        <v>99.40435164120785</v>
      </c>
    </row>
    <row r="294" spans="3:22" s="20" customFormat="1" ht="0" customHeight="1" hidden="1">
      <c r="C294" s="27"/>
      <c r="D294" s="27"/>
      <c r="E294" s="27"/>
      <c r="F294" s="31" t="s">
        <v>24</v>
      </c>
      <c r="G294" s="103">
        <f t="shared" si="65"/>
        <v>0</v>
      </c>
      <c r="H294" s="104"/>
      <c r="I294" s="104"/>
      <c r="J294" s="25"/>
      <c r="K294" s="6"/>
      <c r="L294" s="104">
        <f>N294+Q294</f>
        <v>0</v>
      </c>
      <c r="M294" s="104"/>
      <c r="N294" s="104"/>
      <c r="O294" s="118"/>
      <c r="P294" s="25" t="e">
        <f t="shared" si="55"/>
        <v>#DIV/0!</v>
      </c>
      <c r="Q294" s="6"/>
      <c r="R294" s="103">
        <f t="shared" si="58"/>
        <v>0</v>
      </c>
      <c r="S294" s="103">
        <f t="shared" si="59"/>
        <v>0</v>
      </c>
      <c r="T294" s="106">
        <f t="shared" si="60"/>
        <v>0</v>
      </c>
      <c r="U294" s="106">
        <f t="shared" si="61"/>
        <v>0</v>
      </c>
      <c r="V294" s="26" t="e">
        <f t="shared" si="62"/>
        <v>#DIV/0!</v>
      </c>
    </row>
    <row r="295" spans="2:22" s="17" customFormat="1" ht="35.25" customHeight="1">
      <c r="B295" s="17">
        <v>73</v>
      </c>
      <c r="C295" s="23" t="s">
        <v>316</v>
      </c>
      <c r="D295" s="23" t="s">
        <v>200</v>
      </c>
      <c r="E295" s="23" t="s">
        <v>108</v>
      </c>
      <c r="F295" s="24" t="s">
        <v>201</v>
      </c>
      <c r="G295" s="103">
        <f t="shared" si="65"/>
        <v>0</v>
      </c>
      <c r="H295" s="103">
        <f>H296</f>
        <v>0</v>
      </c>
      <c r="I295" s="103">
        <f>I296</f>
        <v>0</v>
      </c>
      <c r="J295" s="25"/>
      <c r="K295" s="1">
        <f>K296</f>
        <v>0</v>
      </c>
      <c r="L295" s="103">
        <f>L296+L297</f>
        <v>6549438</v>
      </c>
      <c r="M295" s="103">
        <f>M296+M297</f>
        <v>12061288</v>
      </c>
      <c r="N295" s="103">
        <f>N296+N297</f>
        <v>6546658.26</v>
      </c>
      <c r="O295" s="117">
        <f>O296+O297</f>
        <v>6546658.26</v>
      </c>
      <c r="P295" s="25">
        <f t="shared" si="55"/>
        <v>99.95755757974959</v>
      </c>
      <c r="Q295" s="1">
        <f>Q296</f>
        <v>2105000</v>
      </c>
      <c r="R295" s="103">
        <f t="shared" si="58"/>
        <v>6549438</v>
      </c>
      <c r="S295" s="103">
        <f t="shared" si="59"/>
        <v>12061288</v>
      </c>
      <c r="T295" s="106">
        <f t="shared" si="60"/>
        <v>6546658.26</v>
      </c>
      <c r="U295" s="106">
        <f t="shared" si="61"/>
        <v>6546658.26</v>
      </c>
      <c r="V295" s="26">
        <f t="shared" si="62"/>
        <v>99.95755757974959</v>
      </c>
    </row>
    <row r="296" spans="3:22" s="17" customFormat="1" ht="54.75" customHeight="1">
      <c r="C296" s="23"/>
      <c r="D296" s="23"/>
      <c r="E296" s="23"/>
      <c r="F296" s="31" t="s">
        <v>83</v>
      </c>
      <c r="G296" s="104">
        <f t="shared" si="65"/>
        <v>0</v>
      </c>
      <c r="H296" s="103"/>
      <c r="I296" s="103"/>
      <c r="J296" s="25"/>
      <c r="K296" s="1"/>
      <c r="L296" s="103">
        <v>6549438</v>
      </c>
      <c r="M296" s="103">
        <v>12061288</v>
      </c>
      <c r="N296" s="103">
        <v>6546658.26</v>
      </c>
      <c r="O296" s="117">
        <f>N296</f>
        <v>6546658.26</v>
      </c>
      <c r="P296" s="25">
        <f t="shared" si="55"/>
        <v>99.95755757974959</v>
      </c>
      <c r="Q296" s="1">
        <f>1285000+10000+810000</f>
        <v>2105000</v>
      </c>
      <c r="R296" s="103">
        <f t="shared" si="58"/>
        <v>6549438</v>
      </c>
      <c r="S296" s="103">
        <f t="shared" si="59"/>
        <v>12061288</v>
      </c>
      <c r="T296" s="106">
        <f t="shared" si="60"/>
        <v>6546658.26</v>
      </c>
      <c r="U296" s="106">
        <f t="shared" si="61"/>
        <v>6546658.26</v>
      </c>
      <c r="V296" s="26">
        <f t="shared" si="62"/>
        <v>99.95755757974959</v>
      </c>
    </row>
    <row r="297" spans="3:22" s="17" customFormat="1" ht="87" customHeight="1" hidden="1">
      <c r="C297" s="23"/>
      <c r="D297" s="23"/>
      <c r="E297" s="23"/>
      <c r="F297" s="31" t="s">
        <v>432</v>
      </c>
      <c r="G297" s="104"/>
      <c r="H297" s="103"/>
      <c r="I297" s="103"/>
      <c r="J297" s="25"/>
      <c r="K297" s="1"/>
      <c r="L297" s="103"/>
      <c r="M297" s="103"/>
      <c r="N297" s="103"/>
      <c r="O297" s="117"/>
      <c r="P297" s="25" t="e">
        <f t="shared" si="55"/>
        <v>#DIV/0!</v>
      </c>
      <c r="Q297" s="1"/>
      <c r="R297" s="103">
        <f t="shared" si="58"/>
        <v>0</v>
      </c>
      <c r="S297" s="103">
        <f t="shared" si="59"/>
        <v>0</v>
      </c>
      <c r="T297" s="106">
        <f t="shared" si="60"/>
        <v>0</v>
      </c>
      <c r="U297" s="106">
        <f t="shared" si="61"/>
        <v>0</v>
      </c>
      <c r="V297" s="26" t="e">
        <f t="shared" si="62"/>
        <v>#DIV/0!</v>
      </c>
    </row>
    <row r="298" spans="3:22" s="17" customFormat="1" ht="32.25" customHeight="1">
      <c r="C298" s="23" t="s">
        <v>348</v>
      </c>
      <c r="D298" s="23" t="s">
        <v>349</v>
      </c>
      <c r="E298" s="23" t="s">
        <v>108</v>
      </c>
      <c r="F298" s="24" t="s">
        <v>350</v>
      </c>
      <c r="G298" s="104">
        <f>H298+K298</f>
        <v>0</v>
      </c>
      <c r="H298" s="103">
        <f>H299</f>
        <v>0</v>
      </c>
      <c r="I298" s="103">
        <f aca="true" t="shared" si="66" ref="I298:Q298">I299</f>
        <v>0</v>
      </c>
      <c r="J298" s="25"/>
      <c r="K298" s="1">
        <f t="shared" si="66"/>
        <v>0</v>
      </c>
      <c r="L298" s="103">
        <f t="shared" si="66"/>
        <v>1260120</v>
      </c>
      <c r="M298" s="103">
        <f t="shared" si="66"/>
        <v>1365000</v>
      </c>
      <c r="N298" s="103">
        <f t="shared" si="66"/>
        <v>1254788.19</v>
      </c>
      <c r="O298" s="117">
        <f t="shared" si="66"/>
        <v>1254788.19</v>
      </c>
      <c r="P298" s="25">
        <f t="shared" si="55"/>
        <v>99.57688077325969</v>
      </c>
      <c r="Q298" s="1">
        <f t="shared" si="66"/>
        <v>0</v>
      </c>
      <c r="R298" s="103">
        <f t="shared" si="58"/>
        <v>1260120</v>
      </c>
      <c r="S298" s="103">
        <f t="shared" si="59"/>
        <v>1365000</v>
      </c>
      <c r="T298" s="106">
        <f t="shared" si="60"/>
        <v>1254788.19</v>
      </c>
      <c r="U298" s="106">
        <f t="shared" si="61"/>
        <v>1254788.19</v>
      </c>
      <c r="V298" s="26">
        <f t="shared" si="62"/>
        <v>99.57688077325969</v>
      </c>
    </row>
    <row r="299" spans="3:22" s="17" customFormat="1" ht="51" customHeight="1">
      <c r="C299" s="27"/>
      <c r="D299" s="27"/>
      <c r="E299" s="27"/>
      <c r="F299" s="31" t="s">
        <v>83</v>
      </c>
      <c r="G299" s="104">
        <f>H299+K299</f>
        <v>0</v>
      </c>
      <c r="H299" s="104"/>
      <c r="I299" s="104"/>
      <c r="J299" s="25"/>
      <c r="K299" s="6"/>
      <c r="L299" s="103">
        <v>1260120</v>
      </c>
      <c r="M299" s="103">
        <v>1365000</v>
      </c>
      <c r="N299" s="103">
        <v>1254788.19</v>
      </c>
      <c r="O299" s="117">
        <f>N299</f>
        <v>1254788.19</v>
      </c>
      <c r="P299" s="25">
        <f t="shared" si="55"/>
        <v>99.57688077325969</v>
      </c>
      <c r="Q299" s="6"/>
      <c r="R299" s="103">
        <f t="shared" si="58"/>
        <v>1260120</v>
      </c>
      <c r="S299" s="103">
        <f t="shared" si="59"/>
        <v>1365000</v>
      </c>
      <c r="T299" s="106">
        <f t="shared" si="60"/>
        <v>1254788.19</v>
      </c>
      <c r="U299" s="106">
        <f t="shared" si="61"/>
        <v>1254788.19</v>
      </c>
      <c r="V299" s="26">
        <f t="shared" si="62"/>
        <v>99.57688077325969</v>
      </c>
    </row>
    <row r="300" spans="3:22" s="17" customFormat="1" ht="26.25" customHeight="1" hidden="1">
      <c r="C300" s="23" t="s">
        <v>320</v>
      </c>
      <c r="D300" s="23" t="s">
        <v>321</v>
      </c>
      <c r="E300" s="23" t="s">
        <v>108</v>
      </c>
      <c r="F300" s="24" t="s">
        <v>401</v>
      </c>
      <c r="G300" s="103">
        <f>G301</f>
        <v>0</v>
      </c>
      <c r="H300" s="103">
        <f>H301</f>
        <v>0</v>
      </c>
      <c r="I300" s="103">
        <f aca="true" t="shared" si="67" ref="I300:Q300">I301</f>
        <v>0</v>
      </c>
      <c r="J300" s="25"/>
      <c r="K300" s="1">
        <f t="shared" si="67"/>
        <v>0</v>
      </c>
      <c r="L300" s="103">
        <f t="shared" si="67"/>
        <v>0</v>
      </c>
      <c r="M300" s="103">
        <f t="shared" si="67"/>
        <v>0</v>
      </c>
      <c r="N300" s="103">
        <f t="shared" si="67"/>
        <v>0</v>
      </c>
      <c r="O300" s="117">
        <f t="shared" si="67"/>
        <v>0</v>
      </c>
      <c r="P300" s="25" t="e">
        <f t="shared" si="55"/>
        <v>#DIV/0!</v>
      </c>
      <c r="Q300" s="1">
        <f t="shared" si="67"/>
        <v>1160000</v>
      </c>
      <c r="R300" s="103">
        <f aca="true" t="shared" si="68" ref="R300:T303">G300+L300</f>
        <v>0</v>
      </c>
      <c r="S300" s="103">
        <f t="shared" si="68"/>
        <v>0</v>
      </c>
      <c r="T300" s="106">
        <f t="shared" si="68"/>
        <v>0</v>
      </c>
      <c r="U300" s="106">
        <f>O300</f>
        <v>0</v>
      </c>
      <c r="V300" s="26" t="e">
        <f>T300/R300*100</f>
        <v>#DIV/0!</v>
      </c>
    </row>
    <row r="301" spans="3:22" s="17" customFormat="1" ht="54.75" customHeight="1" hidden="1">
      <c r="C301" s="27"/>
      <c r="D301" s="27"/>
      <c r="E301" s="27"/>
      <c r="F301" s="31" t="s">
        <v>83</v>
      </c>
      <c r="G301" s="104">
        <f>H301+K301</f>
        <v>0</v>
      </c>
      <c r="H301" s="103"/>
      <c r="I301" s="103"/>
      <c r="J301" s="25"/>
      <c r="K301" s="1"/>
      <c r="L301" s="103"/>
      <c r="M301" s="103"/>
      <c r="N301" s="103"/>
      <c r="O301" s="117"/>
      <c r="P301" s="25" t="e">
        <f t="shared" si="55"/>
        <v>#DIV/0!</v>
      </c>
      <c r="Q301" s="1">
        <v>1160000</v>
      </c>
      <c r="R301" s="103">
        <f t="shared" si="68"/>
        <v>0</v>
      </c>
      <c r="S301" s="103">
        <f t="shared" si="68"/>
        <v>0</v>
      </c>
      <c r="T301" s="106">
        <f t="shared" si="68"/>
        <v>0</v>
      </c>
      <c r="U301" s="106">
        <f>O301</f>
        <v>0</v>
      </c>
      <c r="V301" s="26" t="e">
        <f>T301/R301*100</f>
        <v>#DIV/0!</v>
      </c>
    </row>
    <row r="302" spans="3:22" s="17" customFormat="1" ht="43.5" customHeight="1" hidden="1">
      <c r="C302" s="23" t="s">
        <v>322</v>
      </c>
      <c r="D302" s="23" t="s">
        <v>323</v>
      </c>
      <c r="E302" s="23" t="s">
        <v>30</v>
      </c>
      <c r="F302" s="24" t="s">
        <v>324</v>
      </c>
      <c r="G302" s="103">
        <f>H302+K302</f>
        <v>0</v>
      </c>
      <c r="H302" s="103">
        <f aca="true" t="shared" si="69" ref="H302:Q302">H303</f>
        <v>0</v>
      </c>
      <c r="I302" s="103">
        <f t="shared" si="69"/>
        <v>0</v>
      </c>
      <c r="J302" s="25"/>
      <c r="K302" s="1">
        <f t="shared" si="69"/>
        <v>0</v>
      </c>
      <c r="L302" s="103">
        <f t="shared" si="69"/>
        <v>0</v>
      </c>
      <c r="M302" s="103">
        <f t="shared" si="69"/>
        <v>0</v>
      </c>
      <c r="N302" s="103">
        <f t="shared" si="69"/>
        <v>0</v>
      </c>
      <c r="O302" s="117">
        <f t="shared" si="69"/>
        <v>0</v>
      </c>
      <c r="P302" s="25"/>
      <c r="Q302" s="1">
        <f t="shared" si="69"/>
        <v>0</v>
      </c>
      <c r="R302" s="103">
        <f t="shared" si="68"/>
        <v>0</v>
      </c>
      <c r="S302" s="103">
        <f t="shared" si="68"/>
        <v>0</v>
      </c>
      <c r="T302" s="106">
        <f t="shared" si="68"/>
        <v>0</v>
      </c>
      <c r="U302" s="106">
        <f>O302</f>
        <v>0</v>
      </c>
      <c r="V302" s="26" t="e">
        <f>T302/R302*100</f>
        <v>#DIV/0!</v>
      </c>
    </row>
    <row r="303" spans="3:22" s="20" customFormat="1" ht="56.25" customHeight="1" hidden="1">
      <c r="C303" s="27"/>
      <c r="D303" s="27"/>
      <c r="E303" s="27"/>
      <c r="F303" s="31" t="s">
        <v>83</v>
      </c>
      <c r="G303" s="104">
        <f>H303+K303</f>
        <v>0</v>
      </c>
      <c r="H303" s="104"/>
      <c r="I303" s="104"/>
      <c r="J303" s="25"/>
      <c r="K303" s="6"/>
      <c r="L303" s="103"/>
      <c r="M303" s="103"/>
      <c r="N303" s="103"/>
      <c r="O303" s="117"/>
      <c r="P303" s="25"/>
      <c r="Q303" s="6"/>
      <c r="R303" s="103">
        <f t="shared" si="68"/>
        <v>0</v>
      </c>
      <c r="S303" s="103">
        <f t="shared" si="68"/>
        <v>0</v>
      </c>
      <c r="T303" s="106">
        <f t="shared" si="68"/>
        <v>0</v>
      </c>
      <c r="U303" s="106">
        <f>O303</f>
        <v>0</v>
      </c>
      <c r="V303" s="26" t="e">
        <f>T303/R303*100</f>
        <v>#DIV/0!</v>
      </c>
    </row>
    <row r="304" spans="3:22" s="17" customFormat="1" ht="63" customHeight="1">
      <c r="C304" s="23" t="s">
        <v>326</v>
      </c>
      <c r="D304" s="23" t="s">
        <v>327</v>
      </c>
      <c r="E304" s="23" t="s">
        <v>30</v>
      </c>
      <c r="F304" s="34" t="s">
        <v>328</v>
      </c>
      <c r="G304" s="103">
        <f>G305</f>
        <v>473906</v>
      </c>
      <c r="H304" s="103">
        <f>H305</f>
        <v>0</v>
      </c>
      <c r="I304" s="103">
        <f>I305</f>
        <v>461674</v>
      </c>
      <c r="J304" s="25">
        <f t="shared" si="57"/>
        <v>97.4188974184754</v>
      </c>
      <c r="K304" s="1">
        <f>K305+K306</f>
        <v>0</v>
      </c>
      <c r="L304" s="103">
        <f>L306+L305</f>
        <v>610732</v>
      </c>
      <c r="M304" s="103">
        <f>M306+M305</f>
        <v>0</v>
      </c>
      <c r="N304" s="103">
        <f>N306+N305</f>
        <v>0</v>
      </c>
      <c r="O304" s="117">
        <f>O306+O305</f>
        <v>0</v>
      </c>
      <c r="P304" s="25">
        <f t="shared" si="55"/>
        <v>0</v>
      </c>
      <c r="Q304" s="1">
        <f>Q305+Q306</f>
        <v>0</v>
      </c>
      <c r="R304" s="103">
        <f t="shared" si="58"/>
        <v>1084638</v>
      </c>
      <c r="S304" s="103">
        <f t="shared" si="59"/>
        <v>0</v>
      </c>
      <c r="T304" s="106">
        <f t="shared" si="60"/>
        <v>461674</v>
      </c>
      <c r="U304" s="106">
        <f t="shared" si="61"/>
        <v>0</v>
      </c>
      <c r="V304" s="26">
        <f t="shared" si="62"/>
        <v>42.56480042189191</v>
      </c>
    </row>
    <row r="305" spans="3:22" s="20" customFormat="1" ht="57" customHeight="1">
      <c r="C305" s="27"/>
      <c r="D305" s="27"/>
      <c r="E305" s="27"/>
      <c r="F305" s="61" t="s">
        <v>433</v>
      </c>
      <c r="G305" s="104">
        <v>473906</v>
      </c>
      <c r="H305" s="148"/>
      <c r="I305" s="104">
        <v>461674</v>
      </c>
      <c r="J305" s="25">
        <f t="shared" si="57"/>
        <v>97.4188974184754</v>
      </c>
      <c r="K305" s="6"/>
      <c r="L305" s="104">
        <v>610732</v>
      </c>
      <c r="M305" s="104"/>
      <c r="N305" s="104"/>
      <c r="O305" s="118"/>
      <c r="P305" s="25">
        <f t="shared" si="55"/>
        <v>0</v>
      </c>
      <c r="Q305" s="6"/>
      <c r="R305" s="103">
        <f t="shared" si="58"/>
        <v>1084638</v>
      </c>
      <c r="S305" s="103">
        <f t="shared" si="59"/>
        <v>0</v>
      </c>
      <c r="T305" s="106">
        <f t="shared" si="60"/>
        <v>461674</v>
      </c>
      <c r="U305" s="106">
        <f t="shared" si="61"/>
        <v>0</v>
      </c>
      <c r="V305" s="26">
        <f t="shared" si="62"/>
        <v>42.56480042189191</v>
      </c>
    </row>
    <row r="306" spans="3:22" s="20" customFormat="1" ht="92.25" customHeight="1" hidden="1">
      <c r="C306" s="27"/>
      <c r="D306" s="27"/>
      <c r="E306" s="27"/>
      <c r="F306" s="61" t="s">
        <v>354</v>
      </c>
      <c r="G306" s="104">
        <f>H306+K306</f>
        <v>0</v>
      </c>
      <c r="H306" s="148"/>
      <c r="I306" s="148"/>
      <c r="J306" s="25" t="e">
        <f t="shared" si="57"/>
        <v>#DIV/0!</v>
      </c>
      <c r="K306" s="6"/>
      <c r="L306" s="104"/>
      <c r="M306" s="104"/>
      <c r="N306" s="104"/>
      <c r="O306" s="118"/>
      <c r="P306" s="25" t="e">
        <f t="shared" si="55"/>
        <v>#DIV/0!</v>
      </c>
      <c r="Q306" s="6"/>
      <c r="R306" s="103">
        <f t="shared" si="58"/>
        <v>0</v>
      </c>
      <c r="S306" s="103">
        <f t="shared" si="59"/>
        <v>0</v>
      </c>
      <c r="T306" s="106">
        <f t="shared" si="60"/>
        <v>0</v>
      </c>
      <c r="U306" s="106">
        <f t="shared" si="61"/>
        <v>0</v>
      </c>
      <c r="V306" s="26" t="e">
        <f t="shared" si="62"/>
        <v>#DIV/0!</v>
      </c>
    </row>
    <row r="307" spans="1:22" s="17" customFormat="1" ht="48.75" customHeight="1">
      <c r="A307" s="29">
        <v>6</v>
      </c>
      <c r="B307" s="17">
        <v>43</v>
      </c>
      <c r="C307" s="23" t="s">
        <v>317</v>
      </c>
      <c r="D307" s="23" t="s">
        <v>253</v>
      </c>
      <c r="E307" s="23" t="s">
        <v>30</v>
      </c>
      <c r="F307" s="32" t="s">
        <v>203</v>
      </c>
      <c r="G307" s="110">
        <f aca="true" t="shared" si="70" ref="G307:Q307">SUM(G308:G312)</f>
        <v>132572</v>
      </c>
      <c r="H307" s="110">
        <f t="shared" si="70"/>
        <v>150012</v>
      </c>
      <c r="I307" s="110">
        <f t="shared" si="70"/>
        <v>132521.97999999998</v>
      </c>
      <c r="J307" s="25">
        <f t="shared" si="57"/>
        <v>99.96226955918293</v>
      </c>
      <c r="K307" s="58">
        <f t="shared" si="70"/>
        <v>0</v>
      </c>
      <c r="L307" s="103">
        <f>L308+L310+L311+L312</f>
        <v>2214110</v>
      </c>
      <c r="M307" s="103">
        <f>M308+M310+M311+M312</f>
        <v>14110</v>
      </c>
      <c r="N307" s="103">
        <f>N308+N310+N311+N312</f>
        <v>2210110</v>
      </c>
      <c r="O307" s="117">
        <f>O308+O310+O311+O312</f>
        <v>2210110</v>
      </c>
      <c r="P307" s="25">
        <f t="shared" si="55"/>
        <v>99.81934050250439</v>
      </c>
      <c r="Q307" s="58">
        <f t="shared" si="70"/>
        <v>0</v>
      </c>
      <c r="R307" s="103">
        <f t="shared" si="58"/>
        <v>2346682</v>
      </c>
      <c r="S307" s="103">
        <f t="shared" si="59"/>
        <v>164122</v>
      </c>
      <c r="T307" s="106">
        <f t="shared" si="60"/>
        <v>2342631.98</v>
      </c>
      <c r="U307" s="106">
        <f t="shared" si="61"/>
        <v>2210110</v>
      </c>
      <c r="V307" s="26">
        <f t="shared" si="62"/>
        <v>99.82741504814031</v>
      </c>
    </row>
    <row r="308" spans="3:22" s="20" customFormat="1" ht="53.25" customHeight="1">
      <c r="C308" s="27"/>
      <c r="D308" s="27"/>
      <c r="E308" s="27"/>
      <c r="F308" s="33" t="s">
        <v>81</v>
      </c>
      <c r="G308" s="104">
        <v>89424</v>
      </c>
      <c r="H308" s="104">
        <v>89424</v>
      </c>
      <c r="I308" s="103">
        <v>89375.73</v>
      </c>
      <c r="J308" s="25">
        <f t="shared" si="57"/>
        <v>99.94602120236178</v>
      </c>
      <c r="K308" s="6"/>
      <c r="L308" s="104">
        <v>2200000</v>
      </c>
      <c r="M308" s="104"/>
      <c r="N308" s="104">
        <v>2196000</v>
      </c>
      <c r="O308" s="117">
        <f>N308</f>
        <v>2196000</v>
      </c>
      <c r="P308" s="25">
        <f t="shared" si="55"/>
        <v>99.81818181818181</v>
      </c>
      <c r="Q308" s="6"/>
      <c r="R308" s="103">
        <f t="shared" si="58"/>
        <v>2289424</v>
      </c>
      <c r="S308" s="103">
        <f t="shared" si="59"/>
        <v>89424</v>
      </c>
      <c r="T308" s="106">
        <f t="shared" si="60"/>
        <v>2285375.73</v>
      </c>
      <c r="U308" s="106">
        <f t="shared" si="61"/>
        <v>2196000</v>
      </c>
      <c r="V308" s="26">
        <f t="shared" si="62"/>
        <v>99.82317517419229</v>
      </c>
    </row>
    <row r="309" spans="3:22" s="20" customFormat="1" ht="36" customHeight="1" hidden="1">
      <c r="C309" s="27"/>
      <c r="D309" s="27"/>
      <c r="E309" s="27"/>
      <c r="F309" s="33" t="s">
        <v>82</v>
      </c>
      <c r="G309" s="104">
        <f>H309+K309</f>
        <v>0</v>
      </c>
      <c r="H309" s="104"/>
      <c r="I309" s="104">
        <v>0</v>
      </c>
      <c r="J309" s="25" t="e">
        <f t="shared" si="57"/>
        <v>#DIV/0!</v>
      </c>
      <c r="K309" s="6"/>
      <c r="L309" s="104">
        <f>N309+Q309</f>
        <v>0</v>
      </c>
      <c r="M309" s="104"/>
      <c r="N309" s="104"/>
      <c r="O309" s="117">
        <f>N309</f>
        <v>0</v>
      </c>
      <c r="P309" s="25"/>
      <c r="Q309" s="6"/>
      <c r="R309" s="103">
        <f t="shared" si="58"/>
        <v>0</v>
      </c>
      <c r="S309" s="103">
        <f t="shared" si="59"/>
        <v>0</v>
      </c>
      <c r="T309" s="106">
        <f t="shared" si="60"/>
        <v>0</v>
      </c>
      <c r="U309" s="106">
        <f t="shared" si="61"/>
        <v>0</v>
      </c>
      <c r="V309" s="26" t="e">
        <f t="shared" si="62"/>
        <v>#DIV/0!</v>
      </c>
    </row>
    <row r="310" spans="3:22" s="20" customFormat="1" ht="44.25" customHeight="1">
      <c r="C310" s="27"/>
      <c r="D310" s="27"/>
      <c r="E310" s="27"/>
      <c r="F310" s="33" t="s">
        <v>23</v>
      </c>
      <c r="G310" s="103">
        <v>37258</v>
      </c>
      <c r="H310" s="103">
        <v>51698</v>
      </c>
      <c r="I310" s="103">
        <v>37256.25</v>
      </c>
      <c r="J310" s="25">
        <f t="shared" si="57"/>
        <v>99.99530302216974</v>
      </c>
      <c r="K310" s="6"/>
      <c r="L310" s="104"/>
      <c r="M310" s="104"/>
      <c r="N310" s="104"/>
      <c r="O310" s="117"/>
      <c r="P310" s="25"/>
      <c r="Q310" s="6"/>
      <c r="R310" s="103">
        <f t="shared" si="58"/>
        <v>37258</v>
      </c>
      <c r="S310" s="103">
        <f t="shared" si="59"/>
        <v>51698</v>
      </c>
      <c r="T310" s="106">
        <f t="shared" si="60"/>
        <v>37256.25</v>
      </c>
      <c r="U310" s="106">
        <f t="shared" si="61"/>
        <v>0</v>
      </c>
      <c r="V310" s="26">
        <f t="shared" si="62"/>
        <v>99.99530302216974</v>
      </c>
    </row>
    <row r="311" spans="3:22" s="20" customFormat="1" ht="54" customHeight="1" hidden="1">
      <c r="C311" s="27"/>
      <c r="D311" s="27"/>
      <c r="E311" s="27"/>
      <c r="F311" s="33" t="s">
        <v>329</v>
      </c>
      <c r="G311" s="103"/>
      <c r="H311" s="103">
        <v>3000</v>
      </c>
      <c r="I311" s="104"/>
      <c r="J311" s="25" t="e">
        <f t="shared" si="57"/>
        <v>#DIV/0!</v>
      </c>
      <c r="K311" s="6"/>
      <c r="L311" s="104"/>
      <c r="M311" s="104"/>
      <c r="N311" s="104"/>
      <c r="O311" s="117"/>
      <c r="P311" s="25"/>
      <c r="Q311" s="6"/>
      <c r="R311" s="103">
        <f t="shared" si="58"/>
        <v>0</v>
      </c>
      <c r="S311" s="103">
        <f t="shared" si="59"/>
        <v>3000</v>
      </c>
      <c r="T311" s="106">
        <f t="shared" si="60"/>
        <v>0</v>
      </c>
      <c r="U311" s="106">
        <f t="shared" si="61"/>
        <v>0</v>
      </c>
      <c r="V311" s="26" t="e">
        <f t="shared" si="62"/>
        <v>#DIV/0!</v>
      </c>
    </row>
    <row r="312" spans="3:22" s="17" customFormat="1" ht="36" customHeight="1">
      <c r="C312" s="23"/>
      <c r="D312" s="23"/>
      <c r="E312" s="23"/>
      <c r="F312" s="151" t="s">
        <v>341</v>
      </c>
      <c r="G312" s="103">
        <v>5890</v>
      </c>
      <c r="H312" s="103">
        <v>5890</v>
      </c>
      <c r="I312" s="103">
        <v>5890</v>
      </c>
      <c r="J312" s="25">
        <f t="shared" si="57"/>
        <v>100</v>
      </c>
      <c r="K312" s="1"/>
      <c r="L312" s="103">
        <v>14110</v>
      </c>
      <c r="M312" s="103">
        <v>14110</v>
      </c>
      <c r="N312" s="103">
        <v>14110</v>
      </c>
      <c r="O312" s="117">
        <v>14110</v>
      </c>
      <c r="P312" s="25">
        <f t="shared" si="55"/>
        <v>100</v>
      </c>
      <c r="Q312" s="6"/>
      <c r="R312" s="103">
        <f t="shared" si="58"/>
        <v>20000</v>
      </c>
      <c r="S312" s="103">
        <f t="shared" si="59"/>
        <v>20000</v>
      </c>
      <c r="T312" s="106">
        <f t="shared" si="60"/>
        <v>20000</v>
      </c>
      <c r="U312" s="106">
        <f t="shared" si="61"/>
        <v>14110</v>
      </c>
      <c r="V312" s="26">
        <f t="shared" si="62"/>
        <v>100</v>
      </c>
    </row>
    <row r="313" spans="1:22" s="17" customFormat="1" ht="45.75" customHeight="1">
      <c r="A313" s="29"/>
      <c r="C313" s="23" t="s">
        <v>318</v>
      </c>
      <c r="D313" s="23" t="s">
        <v>255</v>
      </c>
      <c r="E313" s="23" t="s">
        <v>57</v>
      </c>
      <c r="F313" s="24" t="s">
        <v>254</v>
      </c>
      <c r="G313" s="103">
        <f>SUM(G314:G316)</f>
        <v>3681946</v>
      </c>
      <c r="H313" s="103">
        <f>SUM(H314:H316)</f>
        <v>3860056</v>
      </c>
      <c r="I313" s="103">
        <f>SUM(I314:I316)</f>
        <v>3615653.84</v>
      </c>
      <c r="J313" s="25">
        <f t="shared" si="57"/>
        <v>98.19953470257303</v>
      </c>
      <c r="K313" s="1">
        <f>SUM(K314:K316)</f>
        <v>0</v>
      </c>
      <c r="L313" s="103">
        <f>L314+L315</f>
        <v>2838000</v>
      </c>
      <c r="M313" s="103">
        <f>M314+M315</f>
        <v>4672000</v>
      </c>
      <c r="N313" s="103">
        <f>N314+N315</f>
        <v>2772815.22</v>
      </c>
      <c r="O313" s="103">
        <f>O314+O315</f>
        <v>2772815.22</v>
      </c>
      <c r="P313" s="25">
        <f t="shared" si="55"/>
        <v>97.70314376321355</v>
      </c>
      <c r="Q313" s="1">
        <f>SUM(Q314:Q316)</f>
        <v>0</v>
      </c>
      <c r="R313" s="103">
        <f t="shared" si="58"/>
        <v>6519946</v>
      </c>
      <c r="S313" s="103">
        <f t="shared" si="59"/>
        <v>8532056</v>
      </c>
      <c r="T313" s="106">
        <f t="shared" si="60"/>
        <v>6388469.0600000005</v>
      </c>
      <c r="U313" s="106">
        <f t="shared" si="61"/>
        <v>2772815.22</v>
      </c>
      <c r="V313" s="26">
        <f t="shared" si="62"/>
        <v>97.98346581398067</v>
      </c>
    </row>
    <row r="314" spans="1:22" s="20" customFormat="1" ht="37.5" customHeight="1">
      <c r="A314" s="30"/>
      <c r="C314" s="27"/>
      <c r="D314" s="27"/>
      <c r="E314" s="27"/>
      <c r="F314" s="31" t="s">
        <v>346</v>
      </c>
      <c r="G314" s="103">
        <v>3681946</v>
      </c>
      <c r="H314" s="103">
        <v>3860056</v>
      </c>
      <c r="I314" s="103">
        <v>3615653.84</v>
      </c>
      <c r="J314" s="25">
        <f t="shared" si="57"/>
        <v>98.19953470257303</v>
      </c>
      <c r="K314" s="6"/>
      <c r="L314" s="103">
        <v>2736000</v>
      </c>
      <c r="M314" s="103">
        <v>4570000</v>
      </c>
      <c r="N314" s="103">
        <v>2678903.62</v>
      </c>
      <c r="O314" s="117">
        <f>N314</f>
        <v>2678903.62</v>
      </c>
      <c r="P314" s="25">
        <f t="shared" si="55"/>
        <v>97.91314400584795</v>
      </c>
      <c r="Q314" s="6"/>
      <c r="R314" s="103">
        <f t="shared" si="58"/>
        <v>6417946</v>
      </c>
      <c r="S314" s="103">
        <f t="shared" si="59"/>
        <v>8430056</v>
      </c>
      <c r="T314" s="106">
        <f t="shared" si="60"/>
        <v>6294557.46</v>
      </c>
      <c r="U314" s="106">
        <f t="shared" si="61"/>
        <v>2678903.62</v>
      </c>
      <c r="V314" s="26">
        <f t="shared" si="62"/>
        <v>98.07744502680453</v>
      </c>
    </row>
    <row r="315" spans="1:22" s="20" customFormat="1" ht="37.5" customHeight="1">
      <c r="A315" s="143"/>
      <c r="B315" s="144"/>
      <c r="C315" s="27"/>
      <c r="D315" s="27"/>
      <c r="E315" s="27"/>
      <c r="F315" s="31" t="s">
        <v>496</v>
      </c>
      <c r="G315" s="103"/>
      <c r="H315" s="103"/>
      <c r="I315" s="103"/>
      <c r="J315" s="25"/>
      <c r="K315" s="6"/>
      <c r="L315" s="103">
        <v>102000</v>
      </c>
      <c r="M315" s="103">
        <v>102000</v>
      </c>
      <c r="N315" s="103">
        <v>93911.6</v>
      </c>
      <c r="O315" s="117">
        <f>N315</f>
        <v>93911.6</v>
      </c>
      <c r="P315" s="25">
        <f t="shared" si="55"/>
        <v>92.07019607843138</v>
      </c>
      <c r="Q315" s="6"/>
      <c r="R315" s="103">
        <f t="shared" si="58"/>
        <v>102000</v>
      </c>
      <c r="S315" s="103">
        <f t="shared" si="59"/>
        <v>102000</v>
      </c>
      <c r="T315" s="106">
        <f t="shared" si="60"/>
        <v>93911.6</v>
      </c>
      <c r="U315" s="106">
        <f t="shared" si="61"/>
        <v>93911.6</v>
      </c>
      <c r="V315" s="26">
        <f t="shared" si="62"/>
        <v>92.07019607843138</v>
      </c>
    </row>
    <row r="316" spans="1:22" s="20" customFormat="1" ht="39" customHeight="1">
      <c r="A316" s="30"/>
      <c r="C316" s="23" t="s">
        <v>412</v>
      </c>
      <c r="D316" s="23" t="s">
        <v>413</v>
      </c>
      <c r="E316" s="23" t="s">
        <v>57</v>
      </c>
      <c r="F316" s="24" t="s">
        <v>520</v>
      </c>
      <c r="G316" s="104"/>
      <c r="H316" s="104"/>
      <c r="I316" s="104"/>
      <c r="J316" s="25"/>
      <c r="K316" s="6"/>
      <c r="L316" s="103">
        <v>3560000</v>
      </c>
      <c r="M316" s="103">
        <v>3560000</v>
      </c>
      <c r="N316" s="103">
        <v>3560000</v>
      </c>
      <c r="O316" s="117"/>
      <c r="P316" s="25">
        <f t="shared" si="55"/>
        <v>100</v>
      </c>
      <c r="Q316" s="1"/>
      <c r="R316" s="103">
        <f t="shared" si="58"/>
        <v>3560000</v>
      </c>
      <c r="S316" s="103">
        <f t="shared" si="59"/>
        <v>3560000</v>
      </c>
      <c r="T316" s="106">
        <f t="shared" si="60"/>
        <v>3560000</v>
      </c>
      <c r="U316" s="106">
        <f t="shared" si="61"/>
        <v>0</v>
      </c>
      <c r="V316" s="26">
        <f t="shared" si="62"/>
        <v>100</v>
      </c>
    </row>
    <row r="317" spans="3:22" s="17" customFormat="1" ht="90" customHeight="1">
      <c r="C317" s="23" t="s">
        <v>355</v>
      </c>
      <c r="D317" s="23" t="s">
        <v>249</v>
      </c>
      <c r="E317" s="23" t="s">
        <v>30</v>
      </c>
      <c r="F317" s="40" t="s">
        <v>250</v>
      </c>
      <c r="G317" s="103">
        <f>H317+K317</f>
        <v>0</v>
      </c>
      <c r="H317" s="103">
        <f>H318+H319</f>
        <v>0</v>
      </c>
      <c r="I317" s="103">
        <f>I318+I319</f>
        <v>0</v>
      </c>
      <c r="J317" s="25"/>
      <c r="K317" s="1">
        <f>K318+K319</f>
        <v>0</v>
      </c>
      <c r="L317" s="103">
        <f>L318</f>
        <v>8827</v>
      </c>
      <c r="M317" s="103">
        <f>M318</f>
        <v>8827</v>
      </c>
      <c r="N317" s="103">
        <f>N318</f>
        <v>8827</v>
      </c>
      <c r="O317" s="117">
        <f>O318</f>
        <v>0</v>
      </c>
      <c r="P317" s="25">
        <f t="shared" si="55"/>
        <v>100</v>
      </c>
      <c r="Q317" s="1">
        <f>Q318+Q319</f>
        <v>0</v>
      </c>
      <c r="R317" s="103">
        <f t="shared" si="58"/>
        <v>8827</v>
      </c>
      <c r="S317" s="103">
        <f t="shared" si="59"/>
        <v>8827</v>
      </c>
      <c r="T317" s="106">
        <f t="shared" si="60"/>
        <v>8827</v>
      </c>
      <c r="U317" s="106">
        <f t="shared" si="61"/>
        <v>0</v>
      </c>
      <c r="V317" s="26">
        <f t="shared" si="62"/>
        <v>100</v>
      </c>
    </row>
    <row r="318" spans="3:22" s="20" customFormat="1" ht="30.75">
      <c r="C318" s="27"/>
      <c r="D318" s="27"/>
      <c r="E318" s="27"/>
      <c r="F318" s="28" t="s">
        <v>346</v>
      </c>
      <c r="G318" s="104"/>
      <c r="H318" s="104"/>
      <c r="I318" s="104"/>
      <c r="J318" s="25"/>
      <c r="K318" s="6"/>
      <c r="L318" s="104">
        <v>8827</v>
      </c>
      <c r="M318" s="104">
        <v>8827</v>
      </c>
      <c r="N318" s="104">
        <v>8827</v>
      </c>
      <c r="O318" s="118"/>
      <c r="P318" s="25">
        <f t="shared" si="55"/>
        <v>100</v>
      </c>
      <c r="Q318" s="6"/>
      <c r="R318" s="103">
        <f t="shared" si="58"/>
        <v>8827</v>
      </c>
      <c r="S318" s="103">
        <f t="shared" si="59"/>
        <v>8827</v>
      </c>
      <c r="T318" s="106">
        <f t="shared" si="60"/>
        <v>8827</v>
      </c>
      <c r="U318" s="106">
        <f t="shared" si="61"/>
        <v>0</v>
      </c>
      <c r="V318" s="26">
        <f t="shared" si="62"/>
        <v>100</v>
      </c>
    </row>
    <row r="319" spans="3:22" s="17" customFormat="1" ht="43.5" customHeight="1" hidden="1">
      <c r="C319" s="27"/>
      <c r="D319" s="27"/>
      <c r="E319" s="27"/>
      <c r="F319" s="28" t="s">
        <v>80</v>
      </c>
      <c r="G319" s="104">
        <f>H319+K319</f>
        <v>0</v>
      </c>
      <c r="H319" s="103"/>
      <c r="I319" s="103"/>
      <c r="J319" s="25"/>
      <c r="K319" s="1"/>
      <c r="L319" s="104">
        <f>N319+Q319</f>
        <v>0</v>
      </c>
      <c r="M319" s="104"/>
      <c r="N319" s="103"/>
      <c r="O319" s="117"/>
      <c r="P319" s="25" t="e">
        <f t="shared" si="55"/>
        <v>#DIV/0!</v>
      </c>
      <c r="Q319" s="1"/>
      <c r="R319" s="103">
        <f t="shared" si="58"/>
        <v>0</v>
      </c>
      <c r="S319" s="103">
        <f t="shared" si="59"/>
        <v>0</v>
      </c>
      <c r="T319" s="106">
        <f t="shared" si="60"/>
        <v>0</v>
      </c>
      <c r="U319" s="106">
        <f t="shared" si="61"/>
        <v>0</v>
      </c>
      <c r="V319" s="26"/>
    </row>
    <row r="320" spans="3:22" s="17" customFormat="1" ht="31.5" customHeight="1">
      <c r="C320" s="23" t="s">
        <v>268</v>
      </c>
      <c r="D320" s="23" t="s">
        <v>256</v>
      </c>
      <c r="E320" s="23" t="s">
        <v>30</v>
      </c>
      <c r="F320" s="40" t="s">
        <v>257</v>
      </c>
      <c r="G320" s="103">
        <f>G321</f>
        <v>22709820</v>
      </c>
      <c r="H320" s="103">
        <f>H321</f>
        <v>12390049</v>
      </c>
      <c r="I320" s="103">
        <f aca="true" t="shared" si="71" ref="I320:Q320">I321</f>
        <v>22681580.33</v>
      </c>
      <c r="J320" s="25">
        <f t="shared" si="57"/>
        <v>99.87564996111813</v>
      </c>
      <c r="K320" s="1">
        <f t="shared" si="71"/>
        <v>0</v>
      </c>
      <c r="L320" s="103">
        <f>N320+Q320</f>
        <v>0</v>
      </c>
      <c r="M320" s="103">
        <f t="shared" si="71"/>
        <v>0</v>
      </c>
      <c r="N320" s="103">
        <f t="shared" si="71"/>
        <v>0</v>
      </c>
      <c r="O320" s="117">
        <f t="shared" si="71"/>
        <v>0</v>
      </c>
      <c r="P320" s="25"/>
      <c r="Q320" s="1">
        <f t="shared" si="71"/>
        <v>0</v>
      </c>
      <c r="R320" s="103">
        <f t="shared" si="58"/>
        <v>22709820</v>
      </c>
      <c r="S320" s="103">
        <f t="shared" si="59"/>
        <v>12390049</v>
      </c>
      <c r="T320" s="106">
        <f t="shared" si="60"/>
        <v>22681580.33</v>
      </c>
      <c r="U320" s="106">
        <f t="shared" si="61"/>
        <v>0</v>
      </c>
      <c r="V320" s="26">
        <f t="shared" si="62"/>
        <v>99.87564996111813</v>
      </c>
    </row>
    <row r="321" spans="3:22" s="20" customFormat="1" ht="54" customHeight="1">
      <c r="C321" s="27"/>
      <c r="D321" s="27"/>
      <c r="E321" s="27"/>
      <c r="F321" s="28" t="s">
        <v>76</v>
      </c>
      <c r="G321" s="103">
        <v>22709820</v>
      </c>
      <c r="H321" s="103">
        <v>12390049</v>
      </c>
      <c r="I321" s="103">
        <v>22681580.33</v>
      </c>
      <c r="J321" s="25">
        <f t="shared" si="57"/>
        <v>99.87564996111813</v>
      </c>
      <c r="K321" s="6"/>
      <c r="L321" s="104"/>
      <c r="M321" s="104"/>
      <c r="N321" s="104"/>
      <c r="O321" s="118"/>
      <c r="P321" s="25"/>
      <c r="Q321" s="6"/>
      <c r="R321" s="103">
        <f t="shared" si="58"/>
        <v>22709820</v>
      </c>
      <c r="S321" s="103">
        <f t="shared" si="59"/>
        <v>12390049</v>
      </c>
      <c r="T321" s="106">
        <f t="shared" si="60"/>
        <v>22681580.33</v>
      </c>
      <c r="U321" s="106">
        <f t="shared" si="61"/>
        <v>0</v>
      </c>
      <c r="V321" s="26">
        <f t="shared" si="62"/>
        <v>99.87564996111813</v>
      </c>
    </row>
    <row r="322" spans="3:22" s="17" customFormat="1" ht="33" customHeight="1">
      <c r="C322" s="23" t="s">
        <v>439</v>
      </c>
      <c r="D322" s="23" t="s">
        <v>204</v>
      </c>
      <c r="E322" s="23"/>
      <c r="F322" s="32" t="s">
        <v>304</v>
      </c>
      <c r="G322" s="103">
        <f>G323</f>
        <v>55880</v>
      </c>
      <c r="H322" s="104">
        <f>H323</f>
        <v>158680</v>
      </c>
      <c r="I322" s="103">
        <f>I323</f>
        <v>55873.6</v>
      </c>
      <c r="J322" s="25">
        <f t="shared" si="57"/>
        <v>99.98854688618468</v>
      </c>
      <c r="K322" s="1">
        <f>SUM(K323)</f>
        <v>0</v>
      </c>
      <c r="L322" s="103">
        <f>SUM(L323)</f>
        <v>0</v>
      </c>
      <c r="M322" s="103">
        <f>SUM(M323)</f>
        <v>0</v>
      </c>
      <c r="N322" s="103">
        <f>SUM(N323)</f>
        <v>0</v>
      </c>
      <c r="O322" s="117">
        <f>SUM(O323)</f>
        <v>0</v>
      </c>
      <c r="P322" s="25"/>
      <c r="Q322" s="1">
        <f>SUM(Q323)</f>
        <v>0</v>
      </c>
      <c r="R322" s="103">
        <f t="shared" si="58"/>
        <v>55880</v>
      </c>
      <c r="S322" s="103">
        <f t="shared" si="59"/>
        <v>158680</v>
      </c>
      <c r="T322" s="106">
        <f t="shared" si="60"/>
        <v>55873.6</v>
      </c>
      <c r="U322" s="106">
        <f t="shared" si="61"/>
        <v>0</v>
      </c>
      <c r="V322" s="26">
        <f t="shared" si="62"/>
        <v>99.98854688618468</v>
      </c>
    </row>
    <row r="323" spans="3:22" s="20" customFormat="1" ht="54" customHeight="1">
      <c r="C323" s="27"/>
      <c r="D323" s="27"/>
      <c r="E323" s="27"/>
      <c r="F323" s="33" t="s">
        <v>440</v>
      </c>
      <c r="G323" s="103">
        <v>55880</v>
      </c>
      <c r="H323" s="104">
        <v>158680</v>
      </c>
      <c r="I323" s="103">
        <v>55873.6</v>
      </c>
      <c r="J323" s="25">
        <f t="shared" si="57"/>
        <v>99.98854688618468</v>
      </c>
      <c r="K323" s="6"/>
      <c r="L323" s="104"/>
      <c r="M323" s="104"/>
      <c r="N323" s="104"/>
      <c r="O323" s="118"/>
      <c r="P323" s="25"/>
      <c r="Q323" s="6"/>
      <c r="R323" s="103">
        <f t="shared" si="58"/>
        <v>55880</v>
      </c>
      <c r="S323" s="103">
        <f t="shared" si="59"/>
        <v>158680</v>
      </c>
      <c r="T323" s="106">
        <f t="shared" si="60"/>
        <v>55873.6</v>
      </c>
      <c r="U323" s="106">
        <f t="shared" si="61"/>
        <v>0</v>
      </c>
      <c r="V323" s="26">
        <f t="shared" si="62"/>
        <v>99.98854688618468</v>
      </c>
    </row>
    <row r="324" spans="3:22" s="29" customFormat="1" ht="35.25" customHeight="1">
      <c r="C324" s="18"/>
      <c r="D324" s="18"/>
      <c r="E324" s="18"/>
      <c r="F324" s="19" t="s">
        <v>5</v>
      </c>
      <c r="G324" s="108">
        <f>G249+G252+G290+G295+G298+G302+G304+G300+G307+G313+G317+G320+G322</f>
        <v>68089734.55</v>
      </c>
      <c r="H324" s="108">
        <f>H249+H252+H290+H295+H298+H302+H304+H300+H307+H313+H317+H320+H322</f>
        <v>51093061.55</v>
      </c>
      <c r="I324" s="108">
        <f>I249+I252+I290+I295+I298+I302+I304+I300+I307+I313+I317+I320+I322</f>
        <v>67637241.39999999</v>
      </c>
      <c r="J324" s="25">
        <f t="shared" si="57"/>
        <v>99.33544585980472</v>
      </c>
      <c r="K324" s="7" t="e">
        <f>K249+#REF!+K252+K290+K295+K298+K302+K304+K300+K307+K313+K317+K320+K322+#REF!</f>
        <v>#REF!</v>
      </c>
      <c r="L324" s="108">
        <f>L249+L252+L290+L295+L298+L302+L304+L300+L307+L313+L317+L320+L322+L316</f>
        <v>36419267</v>
      </c>
      <c r="M324" s="108">
        <f>M249+M252+M290+M295+M298+M302+M304+M300+M307+M313+M317+M320+M322+M316</f>
        <v>43000749</v>
      </c>
      <c r="N324" s="108">
        <f>N249+N252+N290+N295+N298+N302+N304+N300+N307+N313+N317+N320+N322+N316</f>
        <v>34557705.86</v>
      </c>
      <c r="O324" s="108">
        <f>O249+O252+O290+O295+O298+O302+O304+O300+O307+O313+O317+O320+O322+O316</f>
        <v>30988878.860000003</v>
      </c>
      <c r="P324" s="39">
        <f t="shared" si="55"/>
        <v>94.88852661422318</v>
      </c>
      <c r="Q324" s="7" t="e">
        <f>Q249+#REF!+Q252+Q290+Q295+Q298+Q302+Q304+Q300+Q307+Q313+Q317+Q320+Q322+#REF!</f>
        <v>#REF!</v>
      </c>
      <c r="R324" s="103">
        <f t="shared" si="58"/>
        <v>104509001.55</v>
      </c>
      <c r="S324" s="103">
        <f t="shared" si="59"/>
        <v>94093810.55</v>
      </c>
      <c r="T324" s="106">
        <f t="shared" si="60"/>
        <v>102194947.25999999</v>
      </c>
      <c r="U324" s="106">
        <f t="shared" si="61"/>
        <v>30988878.860000003</v>
      </c>
      <c r="V324" s="26">
        <f t="shared" si="62"/>
        <v>97.78578471167108</v>
      </c>
    </row>
    <row r="325" spans="3:22" s="29" customFormat="1" ht="45.75" customHeight="1">
      <c r="C325" s="62">
        <v>2800000</v>
      </c>
      <c r="D325" s="18"/>
      <c r="E325" s="18"/>
      <c r="F325" s="38" t="s">
        <v>372</v>
      </c>
      <c r="G325" s="108"/>
      <c r="H325" s="108"/>
      <c r="I325" s="108"/>
      <c r="J325" s="25"/>
      <c r="K325" s="7"/>
      <c r="L325" s="108"/>
      <c r="M325" s="108"/>
      <c r="N325" s="108"/>
      <c r="O325" s="123"/>
      <c r="P325" s="25"/>
      <c r="Q325" s="7"/>
      <c r="R325" s="103"/>
      <c r="S325" s="103"/>
      <c r="T325" s="106"/>
      <c r="U325" s="106"/>
      <c r="V325" s="26"/>
    </row>
    <row r="326" spans="3:22" s="30" customFormat="1" ht="48.75" customHeight="1">
      <c r="C326" s="63">
        <v>2810000</v>
      </c>
      <c r="D326" s="21"/>
      <c r="E326" s="21"/>
      <c r="F326" s="59" t="s">
        <v>372</v>
      </c>
      <c r="G326" s="113"/>
      <c r="H326" s="113"/>
      <c r="I326" s="113"/>
      <c r="J326" s="25"/>
      <c r="K326" s="9"/>
      <c r="L326" s="113"/>
      <c r="M326" s="113"/>
      <c r="N326" s="113"/>
      <c r="O326" s="127"/>
      <c r="P326" s="25"/>
      <c r="Q326" s="9"/>
      <c r="R326" s="103"/>
      <c r="S326" s="103"/>
      <c r="T326" s="106"/>
      <c r="U326" s="106"/>
      <c r="V326" s="26"/>
    </row>
    <row r="327" spans="1:22" s="17" customFormat="1" ht="40.5" customHeight="1">
      <c r="A327" s="17">
        <v>8</v>
      </c>
      <c r="B327" s="17">
        <v>57</v>
      </c>
      <c r="C327" s="23" t="s">
        <v>102</v>
      </c>
      <c r="D327" s="23" t="s">
        <v>32</v>
      </c>
      <c r="E327" s="23" t="s">
        <v>29</v>
      </c>
      <c r="F327" s="40" t="s">
        <v>98</v>
      </c>
      <c r="G327" s="103">
        <f>G331+G332</f>
        <v>2414950</v>
      </c>
      <c r="H327" s="103">
        <f>H331+H332</f>
        <v>1955142</v>
      </c>
      <c r="I327" s="103">
        <f>I331+I332</f>
        <v>2412796.89</v>
      </c>
      <c r="J327" s="25">
        <f t="shared" si="57"/>
        <v>99.91084246050643</v>
      </c>
      <c r="K327" s="1"/>
      <c r="L327" s="103">
        <f>L331+L332</f>
        <v>0</v>
      </c>
      <c r="M327" s="103">
        <f>M331+M332</f>
        <v>0</v>
      </c>
      <c r="N327" s="103">
        <f>N331+N332</f>
        <v>0</v>
      </c>
      <c r="O327" s="103">
        <f>O331+O332</f>
        <v>0</v>
      </c>
      <c r="P327" s="25"/>
      <c r="Q327" s="1"/>
      <c r="R327" s="103">
        <f t="shared" si="58"/>
        <v>2414950</v>
      </c>
      <c r="S327" s="103">
        <f t="shared" si="59"/>
        <v>1955142</v>
      </c>
      <c r="T327" s="106">
        <f t="shared" si="60"/>
        <v>2412796.89</v>
      </c>
      <c r="U327" s="106">
        <f t="shared" si="61"/>
        <v>0</v>
      </c>
      <c r="V327" s="26">
        <f t="shared" si="62"/>
        <v>99.91084246050643</v>
      </c>
    </row>
    <row r="328" spans="3:22" s="29" customFormat="1" ht="33.75" customHeight="1" hidden="1">
      <c r="C328" s="18" t="s">
        <v>209</v>
      </c>
      <c r="D328" s="18" t="s">
        <v>205</v>
      </c>
      <c r="E328" s="18"/>
      <c r="F328" s="19" t="s">
        <v>206</v>
      </c>
      <c r="G328" s="108">
        <f>H328+K328</f>
        <v>0</v>
      </c>
      <c r="H328" s="108">
        <f aca="true" t="shared" si="72" ref="H328:K329">H329</f>
        <v>0</v>
      </c>
      <c r="I328" s="108">
        <f t="shared" si="72"/>
        <v>0</v>
      </c>
      <c r="J328" s="25" t="e">
        <f t="shared" si="57"/>
        <v>#DIV/0!</v>
      </c>
      <c r="K328" s="7">
        <f t="shared" si="72"/>
        <v>0</v>
      </c>
      <c r="L328" s="108">
        <f aca="true" t="shared" si="73" ref="L328:L333">N328+Q328</f>
        <v>0</v>
      </c>
      <c r="M328" s="108">
        <f aca="true" t="shared" si="74" ref="M328:Q329">M329</f>
        <v>0</v>
      </c>
      <c r="N328" s="108">
        <f t="shared" si="74"/>
        <v>0</v>
      </c>
      <c r="O328" s="123">
        <f t="shared" si="74"/>
        <v>0</v>
      </c>
      <c r="P328" s="25"/>
      <c r="Q328" s="7">
        <f t="shared" si="74"/>
        <v>0</v>
      </c>
      <c r="R328" s="103">
        <f t="shared" si="58"/>
        <v>0</v>
      </c>
      <c r="S328" s="103">
        <f t="shared" si="59"/>
        <v>0</v>
      </c>
      <c r="T328" s="106">
        <f t="shared" si="60"/>
        <v>0</v>
      </c>
      <c r="U328" s="106">
        <f t="shared" si="61"/>
        <v>0</v>
      </c>
      <c r="V328" s="26" t="e">
        <f t="shared" si="62"/>
        <v>#DIV/0!</v>
      </c>
    </row>
    <row r="329" spans="3:22" s="17" customFormat="1" ht="35.25" customHeight="1" hidden="1">
      <c r="C329" s="23" t="s">
        <v>211</v>
      </c>
      <c r="D329" s="23" t="s">
        <v>54</v>
      </c>
      <c r="E329" s="23" t="s">
        <v>55</v>
      </c>
      <c r="F329" s="40" t="s">
        <v>190</v>
      </c>
      <c r="G329" s="103">
        <f>H329+K329</f>
        <v>0</v>
      </c>
      <c r="H329" s="103">
        <f t="shared" si="72"/>
        <v>0</v>
      </c>
      <c r="I329" s="103">
        <f t="shared" si="72"/>
        <v>0</v>
      </c>
      <c r="J329" s="25" t="e">
        <f t="shared" si="57"/>
        <v>#DIV/0!</v>
      </c>
      <c r="K329" s="1">
        <f t="shared" si="72"/>
        <v>0</v>
      </c>
      <c r="L329" s="103">
        <f t="shared" si="73"/>
        <v>0</v>
      </c>
      <c r="M329" s="103"/>
      <c r="N329" s="103">
        <f t="shared" si="74"/>
        <v>0</v>
      </c>
      <c r="O329" s="117">
        <f t="shared" si="74"/>
        <v>0</v>
      </c>
      <c r="P329" s="25"/>
      <c r="Q329" s="1">
        <f t="shared" si="74"/>
        <v>0</v>
      </c>
      <c r="R329" s="103">
        <f t="shared" si="58"/>
        <v>0</v>
      </c>
      <c r="S329" s="103">
        <f t="shared" si="59"/>
        <v>0</v>
      </c>
      <c r="T329" s="106">
        <f t="shared" si="60"/>
        <v>0</v>
      </c>
      <c r="U329" s="106">
        <f t="shared" si="61"/>
        <v>0</v>
      </c>
      <c r="V329" s="26" t="e">
        <f t="shared" si="62"/>
        <v>#DIV/0!</v>
      </c>
    </row>
    <row r="330" spans="3:22" s="20" customFormat="1" ht="68.25" customHeight="1" hidden="1">
      <c r="C330" s="27"/>
      <c r="D330" s="27"/>
      <c r="E330" s="27"/>
      <c r="F330" s="28" t="s">
        <v>210</v>
      </c>
      <c r="G330" s="104">
        <f>H330+K330</f>
        <v>0</v>
      </c>
      <c r="H330" s="104"/>
      <c r="I330" s="112"/>
      <c r="J330" s="25" t="e">
        <f t="shared" si="57"/>
        <v>#DIV/0!</v>
      </c>
      <c r="K330" s="36"/>
      <c r="L330" s="104">
        <f t="shared" si="73"/>
        <v>0</v>
      </c>
      <c r="M330" s="104"/>
      <c r="N330" s="112"/>
      <c r="O330" s="122"/>
      <c r="P330" s="25"/>
      <c r="Q330" s="36"/>
      <c r="R330" s="103">
        <f t="shared" si="58"/>
        <v>0</v>
      </c>
      <c r="S330" s="103">
        <f t="shared" si="59"/>
        <v>0</v>
      </c>
      <c r="T330" s="106">
        <f t="shared" si="60"/>
        <v>0</v>
      </c>
      <c r="U330" s="106">
        <f t="shared" si="61"/>
        <v>0</v>
      </c>
      <c r="V330" s="26" t="e">
        <f t="shared" si="62"/>
        <v>#DIV/0!</v>
      </c>
    </row>
    <row r="331" spans="3:22" s="20" customFormat="1" ht="27.75" customHeight="1">
      <c r="C331" s="27"/>
      <c r="D331" s="27"/>
      <c r="E331" s="27"/>
      <c r="F331" s="60" t="s">
        <v>473</v>
      </c>
      <c r="G331" s="103">
        <v>2409950</v>
      </c>
      <c r="H331" s="103">
        <v>1950142</v>
      </c>
      <c r="I331" s="107">
        <v>2407804.89</v>
      </c>
      <c r="J331" s="25">
        <f t="shared" si="57"/>
        <v>99.91098943961494</v>
      </c>
      <c r="K331" s="36"/>
      <c r="L331" s="104"/>
      <c r="M331" s="104"/>
      <c r="N331" s="112"/>
      <c r="O331" s="122"/>
      <c r="P331" s="25"/>
      <c r="Q331" s="36"/>
      <c r="R331" s="103">
        <f t="shared" si="58"/>
        <v>2409950</v>
      </c>
      <c r="S331" s="103">
        <f t="shared" si="59"/>
        <v>1950142</v>
      </c>
      <c r="T331" s="106">
        <f t="shared" si="60"/>
        <v>2407804.89</v>
      </c>
      <c r="U331" s="106">
        <f t="shared" si="61"/>
        <v>0</v>
      </c>
      <c r="V331" s="26">
        <f t="shared" si="62"/>
        <v>99.91098943961494</v>
      </c>
    </row>
    <row r="332" spans="3:22" s="20" customFormat="1" ht="56.25" customHeight="1">
      <c r="C332" s="27"/>
      <c r="D332" s="27"/>
      <c r="E332" s="27"/>
      <c r="F332" s="90" t="s">
        <v>450</v>
      </c>
      <c r="G332" s="103">
        <v>5000</v>
      </c>
      <c r="H332" s="103">
        <v>5000</v>
      </c>
      <c r="I332" s="107">
        <v>4992</v>
      </c>
      <c r="J332" s="25">
        <f t="shared" si="57"/>
        <v>99.83999999999999</v>
      </c>
      <c r="K332" s="36"/>
      <c r="L332" s="104"/>
      <c r="M332" s="104"/>
      <c r="N332" s="112"/>
      <c r="O332" s="122"/>
      <c r="P332" s="25"/>
      <c r="Q332" s="36"/>
      <c r="R332" s="103">
        <f t="shared" si="58"/>
        <v>5000</v>
      </c>
      <c r="S332" s="103">
        <f t="shared" si="59"/>
        <v>5000</v>
      </c>
      <c r="T332" s="106">
        <f t="shared" si="60"/>
        <v>4992</v>
      </c>
      <c r="U332" s="106">
        <f t="shared" si="61"/>
        <v>0</v>
      </c>
      <c r="V332" s="26">
        <f t="shared" si="62"/>
        <v>99.83999999999999</v>
      </c>
    </row>
    <row r="333" spans="3:22" s="17" customFormat="1" ht="38.25" customHeight="1">
      <c r="C333" s="23" t="s">
        <v>212</v>
      </c>
      <c r="D333" s="23" t="s">
        <v>213</v>
      </c>
      <c r="E333" s="23" t="s">
        <v>74</v>
      </c>
      <c r="F333" s="40" t="s">
        <v>214</v>
      </c>
      <c r="G333" s="103">
        <f>G334</f>
        <v>220600</v>
      </c>
      <c r="H333" s="103">
        <f>H334</f>
        <v>230600</v>
      </c>
      <c r="I333" s="103">
        <f>I334</f>
        <v>220600</v>
      </c>
      <c r="J333" s="25">
        <f t="shared" si="57"/>
        <v>100</v>
      </c>
      <c r="K333" s="1">
        <f>K334</f>
        <v>0</v>
      </c>
      <c r="L333" s="103">
        <f t="shared" si="73"/>
        <v>0</v>
      </c>
      <c r="M333" s="103">
        <f>M334</f>
        <v>0</v>
      </c>
      <c r="N333" s="103">
        <f>N334</f>
        <v>0</v>
      </c>
      <c r="O333" s="117">
        <f>O334</f>
        <v>0</v>
      </c>
      <c r="P333" s="25"/>
      <c r="Q333" s="1">
        <f>Q334</f>
        <v>0</v>
      </c>
      <c r="R333" s="103">
        <f t="shared" si="58"/>
        <v>220600</v>
      </c>
      <c r="S333" s="103">
        <f t="shared" si="59"/>
        <v>230600</v>
      </c>
      <c r="T333" s="106">
        <f t="shared" si="60"/>
        <v>220600</v>
      </c>
      <c r="U333" s="106">
        <f t="shared" si="61"/>
        <v>0</v>
      </c>
      <c r="V333" s="26">
        <f t="shared" si="62"/>
        <v>100</v>
      </c>
    </row>
    <row r="334" spans="3:22" s="20" customFormat="1" ht="30.75">
      <c r="C334" s="27"/>
      <c r="D334" s="27"/>
      <c r="E334" s="27"/>
      <c r="F334" s="28" t="s">
        <v>215</v>
      </c>
      <c r="G334" s="103">
        <v>220600</v>
      </c>
      <c r="H334" s="103">
        <v>230600</v>
      </c>
      <c r="I334" s="107">
        <v>220600</v>
      </c>
      <c r="J334" s="25">
        <f t="shared" si="57"/>
        <v>100</v>
      </c>
      <c r="K334" s="36"/>
      <c r="L334" s="104"/>
      <c r="M334" s="104"/>
      <c r="N334" s="112"/>
      <c r="O334" s="122"/>
      <c r="P334" s="25"/>
      <c r="Q334" s="36"/>
      <c r="R334" s="103">
        <f t="shared" si="58"/>
        <v>220600</v>
      </c>
      <c r="S334" s="103">
        <f t="shared" si="59"/>
        <v>230600</v>
      </c>
      <c r="T334" s="106">
        <f t="shared" si="60"/>
        <v>220600</v>
      </c>
      <c r="U334" s="106">
        <f t="shared" si="61"/>
        <v>0</v>
      </c>
      <c r="V334" s="26">
        <f t="shared" si="62"/>
        <v>100</v>
      </c>
    </row>
    <row r="335" spans="3:22" s="17" customFormat="1" ht="47.25" customHeight="1" hidden="1">
      <c r="C335" s="23" t="s">
        <v>305</v>
      </c>
      <c r="D335" s="23" t="s">
        <v>253</v>
      </c>
      <c r="E335" s="23" t="s">
        <v>30</v>
      </c>
      <c r="F335" s="40" t="s">
        <v>203</v>
      </c>
      <c r="G335" s="103">
        <f>G336</f>
        <v>0</v>
      </c>
      <c r="H335" s="103">
        <f>H336</f>
        <v>36000</v>
      </c>
      <c r="I335" s="103">
        <f>I336</f>
        <v>0</v>
      </c>
      <c r="J335" s="25" t="e">
        <f t="shared" si="57"/>
        <v>#DIV/0!</v>
      </c>
      <c r="K335" s="1">
        <f>K336</f>
        <v>0</v>
      </c>
      <c r="L335" s="103">
        <f>L336</f>
        <v>0</v>
      </c>
      <c r="M335" s="103">
        <f>M336</f>
        <v>264000</v>
      </c>
      <c r="N335" s="103">
        <f>N336</f>
        <v>0</v>
      </c>
      <c r="O335" s="117">
        <f>O336</f>
        <v>0</v>
      </c>
      <c r="P335" s="25" t="e">
        <f t="shared" si="55"/>
        <v>#DIV/0!</v>
      </c>
      <c r="Q335" s="1">
        <f>Q336</f>
        <v>0</v>
      </c>
      <c r="R335" s="103">
        <f t="shared" si="58"/>
        <v>0</v>
      </c>
      <c r="S335" s="103">
        <f t="shared" si="59"/>
        <v>300000</v>
      </c>
      <c r="T335" s="106">
        <f t="shared" si="60"/>
        <v>0</v>
      </c>
      <c r="U335" s="106">
        <f t="shared" si="61"/>
        <v>0</v>
      </c>
      <c r="V335" s="26" t="e">
        <f t="shared" si="62"/>
        <v>#DIV/0!</v>
      </c>
    </row>
    <row r="336" spans="3:22" s="20" customFormat="1" ht="30.75" hidden="1">
      <c r="C336" s="27"/>
      <c r="D336" s="27"/>
      <c r="E336" s="27"/>
      <c r="F336" s="28" t="s">
        <v>215</v>
      </c>
      <c r="G336" s="103">
        <v>0</v>
      </c>
      <c r="H336" s="103">
        <v>36000</v>
      </c>
      <c r="I336" s="112"/>
      <c r="J336" s="25" t="e">
        <f t="shared" si="57"/>
        <v>#DIV/0!</v>
      </c>
      <c r="K336" s="36"/>
      <c r="L336" s="103">
        <v>0</v>
      </c>
      <c r="M336" s="103">
        <v>264000</v>
      </c>
      <c r="N336" s="112">
        <v>0</v>
      </c>
      <c r="O336" s="122"/>
      <c r="P336" s="25" t="e">
        <f t="shared" si="55"/>
        <v>#DIV/0!</v>
      </c>
      <c r="Q336" s="5"/>
      <c r="R336" s="103">
        <f t="shared" si="58"/>
        <v>0</v>
      </c>
      <c r="S336" s="103">
        <f t="shared" si="59"/>
        <v>300000</v>
      </c>
      <c r="T336" s="106">
        <f t="shared" si="60"/>
        <v>0</v>
      </c>
      <c r="U336" s="106">
        <f t="shared" si="61"/>
        <v>0</v>
      </c>
      <c r="V336" s="26" t="e">
        <f t="shared" si="62"/>
        <v>#DIV/0!</v>
      </c>
    </row>
    <row r="337" spans="3:22" s="17" customFormat="1" ht="39" customHeight="1" hidden="1">
      <c r="C337" s="41" t="s">
        <v>305</v>
      </c>
      <c r="D337" s="135" t="s">
        <v>253</v>
      </c>
      <c r="E337" s="135" t="s">
        <v>30</v>
      </c>
      <c r="F337" s="133" t="s">
        <v>203</v>
      </c>
      <c r="G337" s="103">
        <f>G338</f>
        <v>0</v>
      </c>
      <c r="H337" s="103">
        <f>H338</f>
        <v>36000</v>
      </c>
      <c r="I337" s="103">
        <f>I338</f>
        <v>0</v>
      </c>
      <c r="J337" s="25" t="e">
        <f t="shared" si="57"/>
        <v>#DIV/0!</v>
      </c>
      <c r="K337" s="1">
        <f>K338</f>
        <v>0</v>
      </c>
      <c r="L337" s="103">
        <f>L338</f>
        <v>0</v>
      </c>
      <c r="M337" s="103">
        <f>M338</f>
        <v>264000</v>
      </c>
      <c r="N337" s="103">
        <f>N338</f>
        <v>0</v>
      </c>
      <c r="O337" s="117">
        <f>O338</f>
        <v>0</v>
      </c>
      <c r="P337" s="25" t="e">
        <f>N337/L337*100</f>
        <v>#DIV/0!</v>
      </c>
      <c r="Q337" s="1">
        <f>Q338</f>
        <v>0</v>
      </c>
      <c r="R337" s="103">
        <f t="shared" si="58"/>
        <v>0</v>
      </c>
      <c r="S337" s="103">
        <f t="shared" si="59"/>
        <v>300000</v>
      </c>
      <c r="T337" s="106">
        <f t="shared" si="60"/>
        <v>0</v>
      </c>
      <c r="U337" s="106">
        <f t="shared" si="61"/>
        <v>0</v>
      </c>
      <c r="V337" s="26" t="e">
        <f t="shared" si="62"/>
        <v>#DIV/0!</v>
      </c>
    </row>
    <row r="338" spans="3:22" s="20" customFormat="1" ht="30.75" hidden="1">
      <c r="C338" s="27"/>
      <c r="D338" s="27"/>
      <c r="E338" s="27"/>
      <c r="F338" s="90" t="s">
        <v>215</v>
      </c>
      <c r="G338" s="103"/>
      <c r="H338" s="104">
        <v>36000</v>
      </c>
      <c r="I338" s="112"/>
      <c r="J338" s="25" t="e">
        <f t="shared" si="57"/>
        <v>#DIV/0!</v>
      </c>
      <c r="K338" s="36"/>
      <c r="L338" s="104"/>
      <c r="M338" s="104">
        <v>264000</v>
      </c>
      <c r="N338" s="112"/>
      <c r="O338" s="122"/>
      <c r="P338" s="25" t="e">
        <f>N338/L338*100</f>
        <v>#DIV/0!</v>
      </c>
      <c r="Q338" s="36"/>
      <c r="R338" s="103">
        <f t="shared" si="58"/>
        <v>0</v>
      </c>
      <c r="S338" s="103">
        <f t="shared" si="59"/>
        <v>300000</v>
      </c>
      <c r="T338" s="106">
        <f t="shared" si="60"/>
        <v>0</v>
      </c>
      <c r="U338" s="106">
        <f t="shared" si="61"/>
        <v>0</v>
      </c>
      <c r="V338" s="26" t="e">
        <f t="shared" si="62"/>
        <v>#DIV/0!</v>
      </c>
    </row>
    <row r="339" spans="1:22" s="17" customFormat="1" ht="32.25" customHeight="1">
      <c r="A339" s="29"/>
      <c r="C339" s="23" t="s">
        <v>281</v>
      </c>
      <c r="D339" s="23" t="s">
        <v>282</v>
      </c>
      <c r="E339" s="23" t="s">
        <v>283</v>
      </c>
      <c r="F339" s="40" t="s">
        <v>304</v>
      </c>
      <c r="G339" s="103">
        <f>G340</f>
        <v>0</v>
      </c>
      <c r="H339" s="103">
        <f>H340</f>
        <v>0</v>
      </c>
      <c r="I339" s="103">
        <f>I340</f>
        <v>0</v>
      </c>
      <c r="J339" s="25"/>
      <c r="K339" s="1">
        <f aca="true" t="shared" si="75" ref="K339:Q339">K340</f>
        <v>0</v>
      </c>
      <c r="L339" s="103">
        <f t="shared" si="75"/>
        <v>301000</v>
      </c>
      <c r="M339" s="103">
        <f t="shared" si="75"/>
        <v>315000</v>
      </c>
      <c r="N339" s="103">
        <f t="shared" si="75"/>
        <v>290108.72</v>
      </c>
      <c r="O339" s="117"/>
      <c r="P339" s="25">
        <f>N339/L339*100</f>
        <v>96.38163455149501</v>
      </c>
      <c r="Q339" s="1">
        <f t="shared" si="75"/>
        <v>105750</v>
      </c>
      <c r="R339" s="103">
        <f t="shared" si="58"/>
        <v>301000</v>
      </c>
      <c r="S339" s="103">
        <f t="shared" si="59"/>
        <v>315000</v>
      </c>
      <c r="T339" s="106">
        <f t="shared" si="60"/>
        <v>290108.72</v>
      </c>
      <c r="U339" s="106">
        <f t="shared" si="61"/>
        <v>0</v>
      </c>
      <c r="V339" s="26">
        <f t="shared" si="62"/>
        <v>96.38163455149501</v>
      </c>
    </row>
    <row r="340" spans="3:22" s="20" customFormat="1" ht="48" customHeight="1">
      <c r="C340" s="27"/>
      <c r="D340" s="27"/>
      <c r="E340" s="27"/>
      <c r="F340" s="28" t="s">
        <v>18</v>
      </c>
      <c r="G340" s="103"/>
      <c r="H340" s="103"/>
      <c r="I340" s="104"/>
      <c r="J340" s="25"/>
      <c r="K340" s="6"/>
      <c r="L340" s="103">
        <v>301000</v>
      </c>
      <c r="M340" s="103">
        <v>315000</v>
      </c>
      <c r="N340" s="103">
        <v>290108.72</v>
      </c>
      <c r="O340" s="117"/>
      <c r="P340" s="25">
        <f>N340/L340*100</f>
        <v>96.38163455149501</v>
      </c>
      <c r="Q340" s="1">
        <v>105750</v>
      </c>
      <c r="R340" s="103">
        <f t="shared" si="58"/>
        <v>301000</v>
      </c>
      <c r="S340" s="103">
        <f t="shared" si="59"/>
        <v>315000</v>
      </c>
      <c r="T340" s="106">
        <f t="shared" si="60"/>
        <v>290108.72</v>
      </c>
      <c r="U340" s="106">
        <f t="shared" si="61"/>
        <v>0</v>
      </c>
      <c r="V340" s="26">
        <f t="shared" si="62"/>
        <v>96.38163455149501</v>
      </c>
    </row>
    <row r="341" spans="3:22" s="29" customFormat="1" ht="36.75" customHeight="1">
      <c r="C341" s="18"/>
      <c r="D341" s="18"/>
      <c r="E341" s="18"/>
      <c r="F341" s="49" t="s">
        <v>5</v>
      </c>
      <c r="G341" s="108">
        <f>G327+G328+G333+G337+G339+G335</f>
        <v>2635550</v>
      </c>
      <c r="H341" s="108">
        <f>H327+H333+H337+H339</f>
        <v>2221742</v>
      </c>
      <c r="I341" s="108">
        <f>I327+I328+I333+I337+I339+I335</f>
        <v>2633396.89</v>
      </c>
      <c r="J341" s="25">
        <f t="shared" si="57"/>
        <v>99.91830509760771</v>
      </c>
      <c r="K341" s="7">
        <f>K327+K328+K333+K337+K339+K335</f>
        <v>0</v>
      </c>
      <c r="L341" s="108">
        <f>L339+L337+L333+L327</f>
        <v>301000</v>
      </c>
      <c r="M341" s="108">
        <f>M339+M337+M333+M327</f>
        <v>579000</v>
      </c>
      <c r="N341" s="108">
        <f>N339+N337+N333+N327</f>
        <v>290108.72</v>
      </c>
      <c r="O341" s="108">
        <f>O339+O337+O333+O327</f>
        <v>0</v>
      </c>
      <c r="P341" s="39">
        <f>N341/L341*100</f>
        <v>96.38163455149501</v>
      </c>
      <c r="Q341" s="7">
        <f>Q327+Q328+Q333+Q337+Q339+Q335</f>
        <v>105750</v>
      </c>
      <c r="R341" s="103">
        <f t="shared" si="58"/>
        <v>2936550</v>
      </c>
      <c r="S341" s="103">
        <f t="shared" si="59"/>
        <v>2800742</v>
      </c>
      <c r="T341" s="106">
        <f t="shared" si="60"/>
        <v>2923505.6100000003</v>
      </c>
      <c r="U341" s="106">
        <f t="shared" si="61"/>
        <v>0</v>
      </c>
      <c r="V341" s="26">
        <f t="shared" si="62"/>
        <v>99.5557920008173</v>
      </c>
    </row>
    <row r="342" spans="3:22" s="29" customFormat="1" ht="36" customHeight="1">
      <c r="C342" s="18" t="s">
        <v>103</v>
      </c>
      <c r="D342" s="18"/>
      <c r="E342" s="18"/>
      <c r="F342" s="38" t="s">
        <v>434</v>
      </c>
      <c r="G342" s="108"/>
      <c r="H342" s="108"/>
      <c r="I342" s="108"/>
      <c r="J342" s="25"/>
      <c r="K342" s="7"/>
      <c r="L342" s="108"/>
      <c r="M342" s="108"/>
      <c r="N342" s="108"/>
      <c r="O342" s="123"/>
      <c r="P342" s="25"/>
      <c r="Q342" s="7"/>
      <c r="R342" s="103"/>
      <c r="S342" s="103"/>
      <c r="T342" s="106"/>
      <c r="U342" s="106"/>
      <c r="V342" s="26"/>
    </row>
    <row r="343" spans="3:22" s="20" customFormat="1" ht="44.25" customHeight="1">
      <c r="C343" s="21" t="s">
        <v>104</v>
      </c>
      <c r="D343" s="27"/>
      <c r="E343" s="27"/>
      <c r="F343" s="59" t="s">
        <v>373</v>
      </c>
      <c r="G343" s="104"/>
      <c r="H343" s="104"/>
      <c r="I343" s="104"/>
      <c r="J343" s="25"/>
      <c r="K343" s="6"/>
      <c r="L343" s="104"/>
      <c r="M343" s="104"/>
      <c r="N343" s="104"/>
      <c r="O343" s="118"/>
      <c r="P343" s="25"/>
      <c r="Q343" s="6"/>
      <c r="R343" s="103"/>
      <c r="S343" s="103"/>
      <c r="T343" s="106"/>
      <c r="U343" s="106"/>
      <c r="V343" s="26"/>
    </row>
    <row r="344" spans="1:22" s="17" customFormat="1" ht="50.25" customHeight="1">
      <c r="A344" s="17">
        <v>8</v>
      </c>
      <c r="B344" s="17">
        <v>57</v>
      </c>
      <c r="C344" s="23" t="s">
        <v>105</v>
      </c>
      <c r="D344" s="23" t="s">
        <v>32</v>
      </c>
      <c r="E344" s="23" t="s">
        <v>29</v>
      </c>
      <c r="F344" s="40" t="s">
        <v>98</v>
      </c>
      <c r="G344" s="103">
        <f>G346+G345</f>
        <v>3655760</v>
      </c>
      <c r="H344" s="103">
        <f>H346+H345</f>
        <v>2782047</v>
      </c>
      <c r="I344" s="103">
        <f>I346+I345</f>
        <v>3653710.68</v>
      </c>
      <c r="J344" s="25">
        <f t="shared" si="57"/>
        <v>99.94394270958706</v>
      </c>
      <c r="K344" s="1"/>
      <c r="L344" s="103">
        <f>L346+L345</f>
        <v>9400</v>
      </c>
      <c r="M344" s="103">
        <f>M346+M345</f>
        <v>0</v>
      </c>
      <c r="N344" s="103">
        <f>N346+N345</f>
        <v>9400</v>
      </c>
      <c r="O344" s="103">
        <f>O346+O345</f>
        <v>9400</v>
      </c>
      <c r="P344" s="25">
        <f>N344/L344*100</f>
        <v>100</v>
      </c>
      <c r="Q344" s="1"/>
      <c r="R344" s="103">
        <f t="shared" si="58"/>
        <v>3665160</v>
      </c>
      <c r="S344" s="103">
        <f t="shared" si="59"/>
        <v>2782047</v>
      </c>
      <c r="T344" s="106">
        <f t="shared" si="60"/>
        <v>3663110.68</v>
      </c>
      <c r="U344" s="106">
        <f t="shared" si="61"/>
        <v>9400</v>
      </c>
      <c r="V344" s="26">
        <f t="shared" si="62"/>
        <v>99.94408647917145</v>
      </c>
    </row>
    <row r="345" spans="3:22" s="17" customFormat="1" ht="26.25" customHeight="1">
      <c r="C345" s="23"/>
      <c r="D345" s="23"/>
      <c r="E345" s="23"/>
      <c r="F345" s="60" t="s">
        <v>474</v>
      </c>
      <c r="G345" s="103">
        <v>3641760</v>
      </c>
      <c r="H345" s="103">
        <v>2768047</v>
      </c>
      <c r="I345" s="103">
        <v>3639710.68</v>
      </c>
      <c r="J345" s="25">
        <f t="shared" si="57"/>
        <v>99.94372720882211</v>
      </c>
      <c r="K345" s="1"/>
      <c r="L345" s="103">
        <v>9400</v>
      </c>
      <c r="M345" s="103"/>
      <c r="N345" s="103">
        <v>9400</v>
      </c>
      <c r="O345" s="117">
        <f>N345</f>
        <v>9400</v>
      </c>
      <c r="P345" s="25">
        <f>N345/L345*100</f>
        <v>100</v>
      </c>
      <c r="Q345" s="1"/>
      <c r="R345" s="103">
        <f t="shared" si="58"/>
        <v>3651160</v>
      </c>
      <c r="S345" s="103">
        <f t="shared" si="59"/>
        <v>2768047</v>
      </c>
      <c r="T345" s="106">
        <f t="shared" si="60"/>
        <v>3649110.68</v>
      </c>
      <c r="U345" s="106">
        <f t="shared" si="61"/>
        <v>9400</v>
      </c>
      <c r="V345" s="26">
        <f t="shared" si="62"/>
        <v>99.94387208448822</v>
      </c>
    </row>
    <row r="346" spans="3:22" s="17" customFormat="1" ht="48.75" customHeight="1">
      <c r="C346" s="23"/>
      <c r="D346" s="23"/>
      <c r="E346" s="23"/>
      <c r="F346" s="90" t="s">
        <v>450</v>
      </c>
      <c r="G346" s="103">
        <v>14000</v>
      </c>
      <c r="H346" s="103">
        <v>14000</v>
      </c>
      <c r="I346" s="103">
        <v>14000</v>
      </c>
      <c r="J346" s="25">
        <f t="shared" si="57"/>
        <v>100</v>
      </c>
      <c r="K346" s="1"/>
      <c r="L346" s="103"/>
      <c r="M346" s="103"/>
      <c r="N346" s="103"/>
      <c r="O346" s="117"/>
      <c r="P346" s="25"/>
      <c r="Q346" s="1"/>
      <c r="R346" s="103">
        <f t="shared" si="58"/>
        <v>14000</v>
      </c>
      <c r="S346" s="103">
        <f t="shared" si="59"/>
        <v>14000</v>
      </c>
      <c r="T346" s="106">
        <f t="shared" si="60"/>
        <v>14000</v>
      </c>
      <c r="U346" s="106">
        <f t="shared" si="61"/>
        <v>0</v>
      </c>
      <c r="V346" s="26">
        <f t="shared" si="62"/>
        <v>100</v>
      </c>
    </row>
    <row r="347" spans="3:22" s="17" customFormat="1" ht="48.75" customHeight="1">
      <c r="C347" s="23" t="s">
        <v>519</v>
      </c>
      <c r="D347" s="23" t="s">
        <v>327</v>
      </c>
      <c r="E347" s="23" t="s">
        <v>30</v>
      </c>
      <c r="F347" s="34" t="s">
        <v>328</v>
      </c>
      <c r="G347" s="103"/>
      <c r="H347" s="103"/>
      <c r="I347" s="103"/>
      <c r="J347" s="25"/>
      <c r="K347" s="1"/>
      <c r="L347" s="103">
        <f>L348</f>
        <v>3654425</v>
      </c>
      <c r="M347" s="103">
        <f>M348</f>
        <v>0</v>
      </c>
      <c r="N347" s="103">
        <f>N348</f>
        <v>0</v>
      </c>
      <c r="O347" s="103">
        <f>O348</f>
        <v>0</v>
      </c>
      <c r="P347" s="25">
        <f aca="true" t="shared" si="76" ref="P347:P354">N347/L347*100</f>
        <v>0</v>
      </c>
      <c r="Q347" s="1"/>
      <c r="R347" s="103">
        <f aca="true" t="shared" si="77" ref="R347:T348">G347+L347</f>
        <v>3654425</v>
      </c>
      <c r="S347" s="103">
        <f t="shared" si="77"/>
        <v>0</v>
      </c>
      <c r="T347" s="106">
        <f t="shared" si="77"/>
        <v>0</v>
      </c>
      <c r="U347" s="106">
        <f>O347</f>
        <v>0</v>
      </c>
      <c r="V347" s="26">
        <f>T347/R347*100</f>
        <v>0</v>
      </c>
    </row>
    <row r="348" spans="3:22" s="17" customFormat="1" ht="48.75" customHeight="1">
      <c r="C348" s="23"/>
      <c r="D348" s="23"/>
      <c r="E348" s="27"/>
      <c r="F348" s="61" t="s">
        <v>433</v>
      </c>
      <c r="G348" s="103"/>
      <c r="H348" s="103"/>
      <c r="I348" s="103"/>
      <c r="J348" s="25"/>
      <c r="K348" s="1"/>
      <c r="L348" s="103">
        <v>3654425</v>
      </c>
      <c r="M348" s="103"/>
      <c r="N348" s="103">
        <v>0</v>
      </c>
      <c r="O348" s="117">
        <v>0</v>
      </c>
      <c r="P348" s="25">
        <f t="shared" si="76"/>
        <v>0</v>
      </c>
      <c r="Q348" s="1"/>
      <c r="R348" s="103">
        <f t="shared" si="77"/>
        <v>3654425</v>
      </c>
      <c r="S348" s="103">
        <f t="shared" si="77"/>
        <v>0</v>
      </c>
      <c r="T348" s="106">
        <f t="shared" si="77"/>
        <v>0</v>
      </c>
      <c r="U348" s="106">
        <f>O348</f>
        <v>0</v>
      </c>
      <c r="V348" s="26">
        <f>T348/R348*100</f>
        <v>0</v>
      </c>
    </row>
    <row r="349" spans="3:22" s="20" customFormat="1" ht="43.5" customHeight="1">
      <c r="C349" s="23" t="s">
        <v>325</v>
      </c>
      <c r="D349" s="23" t="s">
        <v>253</v>
      </c>
      <c r="E349" s="23" t="s">
        <v>30</v>
      </c>
      <c r="F349" s="40" t="s">
        <v>203</v>
      </c>
      <c r="G349" s="103"/>
      <c r="H349" s="107">
        <f aca="true" t="shared" si="78" ref="H349:O349">H350</f>
        <v>0</v>
      </c>
      <c r="I349" s="107">
        <f t="shared" si="78"/>
        <v>0</v>
      </c>
      <c r="J349" s="25"/>
      <c r="K349" s="5">
        <f t="shared" si="78"/>
        <v>0</v>
      </c>
      <c r="L349" s="107">
        <f t="shared" si="78"/>
        <v>560000</v>
      </c>
      <c r="M349" s="107">
        <f t="shared" si="78"/>
        <v>1791865</v>
      </c>
      <c r="N349" s="107">
        <f t="shared" si="78"/>
        <v>489551.24</v>
      </c>
      <c r="O349" s="128">
        <f t="shared" si="78"/>
        <v>489551.24</v>
      </c>
      <c r="P349" s="25">
        <f t="shared" si="76"/>
        <v>87.41986428571428</v>
      </c>
      <c r="Q349" s="5">
        <f>Q350</f>
        <v>1368700</v>
      </c>
      <c r="R349" s="103">
        <f t="shared" si="58"/>
        <v>560000</v>
      </c>
      <c r="S349" s="103">
        <f t="shared" si="59"/>
        <v>1791865</v>
      </c>
      <c r="T349" s="106">
        <f t="shared" si="60"/>
        <v>489551.24</v>
      </c>
      <c r="U349" s="106">
        <f t="shared" si="61"/>
        <v>489551.24</v>
      </c>
      <c r="V349" s="26">
        <f t="shared" si="62"/>
        <v>87.41986428571428</v>
      </c>
    </row>
    <row r="350" spans="3:22" s="20" customFormat="1" ht="53.25" customHeight="1">
      <c r="C350" s="27"/>
      <c r="D350" s="27"/>
      <c r="E350" s="27"/>
      <c r="F350" s="28" t="s">
        <v>75</v>
      </c>
      <c r="G350" s="103"/>
      <c r="H350" s="107"/>
      <c r="I350" s="112"/>
      <c r="J350" s="25"/>
      <c r="K350" s="36"/>
      <c r="L350" s="103">
        <v>560000</v>
      </c>
      <c r="M350" s="103">
        <v>1791865</v>
      </c>
      <c r="N350" s="107">
        <v>489551.24</v>
      </c>
      <c r="O350" s="128">
        <f>N350</f>
        <v>489551.24</v>
      </c>
      <c r="P350" s="25">
        <f t="shared" si="76"/>
        <v>87.41986428571428</v>
      </c>
      <c r="Q350" s="5">
        <v>1368700</v>
      </c>
      <c r="R350" s="103">
        <f aca="true" t="shared" si="79" ref="R350:R376">G350+L350</f>
        <v>560000</v>
      </c>
      <c r="S350" s="103">
        <f aca="true" t="shared" si="80" ref="S350:S376">H350+M350</f>
        <v>1791865</v>
      </c>
      <c r="T350" s="106">
        <f aca="true" t="shared" si="81" ref="T350:T376">I350+N350</f>
        <v>489551.24</v>
      </c>
      <c r="U350" s="106">
        <f aca="true" t="shared" si="82" ref="U350:U376">O350</f>
        <v>489551.24</v>
      </c>
      <c r="V350" s="26">
        <f aca="true" t="shared" si="83" ref="V350:V376">T350/R350*100</f>
        <v>87.41986428571428</v>
      </c>
    </row>
    <row r="351" spans="1:22" s="17" customFormat="1" ht="43.5" customHeight="1">
      <c r="A351" s="29">
        <v>2</v>
      </c>
      <c r="B351" s="17">
        <v>60</v>
      </c>
      <c r="C351" s="23" t="s">
        <v>216</v>
      </c>
      <c r="D351" s="23" t="s">
        <v>204</v>
      </c>
      <c r="E351" s="23" t="s">
        <v>67</v>
      </c>
      <c r="F351" s="40" t="s">
        <v>339</v>
      </c>
      <c r="G351" s="103">
        <f>G352</f>
        <v>725209</v>
      </c>
      <c r="H351" s="103">
        <f>H352</f>
        <v>856502</v>
      </c>
      <c r="I351" s="103">
        <f>I352</f>
        <v>723040.08</v>
      </c>
      <c r="J351" s="25">
        <f aca="true" t="shared" si="84" ref="J351:J376">I351/G351*100</f>
        <v>99.70092483684013</v>
      </c>
      <c r="K351" s="1">
        <f>SUM(K352:K353)</f>
        <v>0</v>
      </c>
      <c r="L351" s="103">
        <f>L352</f>
        <v>166933</v>
      </c>
      <c r="M351" s="103">
        <f>M352</f>
        <v>151233</v>
      </c>
      <c r="N351" s="103">
        <f>N352</f>
        <v>166824.72</v>
      </c>
      <c r="O351" s="117">
        <f>O352</f>
        <v>166824.72</v>
      </c>
      <c r="P351" s="25">
        <f t="shared" si="76"/>
        <v>99.93513565322615</v>
      </c>
      <c r="Q351" s="1">
        <f>SUM(Q352:Q353)</f>
        <v>0</v>
      </c>
      <c r="R351" s="103">
        <f t="shared" si="79"/>
        <v>892142</v>
      </c>
      <c r="S351" s="103">
        <f t="shared" si="80"/>
        <v>1007735</v>
      </c>
      <c r="T351" s="106">
        <f t="shared" si="81"/>
        <v>889864.7999999999</v>
      </c>
      <c r="U351" s="106">
        <f t="shared" si="82"/>
        <v>166824.72</v>
      </c>
      <c r="V351" s="26">
        <f t="shared" si="83"/>
        <v>99.7447491542826</v>
      </c>
    </row>
    <row r="352" spans="1:22" s="20" customFormat="1" ht="54" customHeight="1">
      <c r="A352" s="30"/>
      <c r="C352" s="27"/>
      <c r="D352" s="27"/>
      <c r="E352" s="27"/>
      <c r="F352" s="28" t="s">
        <v>306</v>
      </c>
      <c r="G352" s="103">
        <v>725209</v>
      </c>
      <c r="H352" s="103">
        <v>856502</v>
      </c>
      <c r="I352" s="103">
        <v>723040.08</v>
      </c>
      <c r="J352" s="25">
        <f t="shared" si="84"/>
        <v>99.70092483684013</v>
      </c>
      <c r="K352" s="6"/>
      <c r="L352" s="103">
        <v>166933</v>
      </c>
      <c r="M352" s="103">
        <v>151233</v>
      </c>
      <c r="N352" s="103">
        <v>166824.72</v>
      </c>
      <c r="O352" s="117">
        <f>N352</f>
        <v>166824.72</v>
      </c>
      <c r="P352" s="25">
        <f t="shared" si="76"/>
        <v>99.93513565322615</v>
      </c>
      <c r="Q352" s="6"/>
      <c r="R352" s="103">
        <f t="shared" si="79"/>
        <v>892142</v>
      </c>
      <c r="S352" s="103">
        <f t="shared" si="80"/>
        <v>1007735</v>
      </c>
      <c r="T352" s="106">
        <f t="shared" si="81"/>
        <v>889864.7999999999</v>
      </c>
      <c r="U352" s="106">
        <f t="shared" si="82"/>
        <v>166824.72</v>
      </c>
      <c r="V352" s="26">
        <f t="shared" si="83"/>
        <v>99.7447491542826</v>
      </c>
    </row>
    <row r="353" spans="1:22" s="20" customFormat="1" ht="63" customHeight="1" hidden="1">
      <c r="A353" s="30"/>
      <c r="C353" s="50"/>
      <c r="D353" s="50"/>
      <c r="E353" s="50"/>
      <c r="F353" s="28" t="s">
        <v>14</v>
      </c>
      <c r="G353" s="104">
        <f>H353+K353</f>
        <v>0</v>
      </c>
      <c r="H353" s="104"/>
      <c r="I353" s="148"/>
      <c r="J353" s="25" t="e">
        <f t="shared" si="84"/>
        <v>#DIV/0!</v>
      </c>
      <c r="K353" s="6"/>
      <c r="L353" s="104">
        <f>N353+Q353</f>
        <v>0</v>
      </c>
      <c r="M353" s="104"/>
      <c r="N353" s="104"/>
      <c r="O353" s="118"/>
      <c r="P353" s="25" t="e">
        <f t="shared" si="76"/>
        <v>#DIV/0!</v>
      </c>
      <c r="Q353" s="6"/>
      <c r="R353" s="103">
        <f t="shared" si="79"/>
        <v>0</v>
      </c>
      <c r="S353" s="103">
        <f t="shared" si="80"/>
        <v>0</v>
      </c>
      <c r="T353" s="106">
        <f t="shared" si="81"/>
        <v>0</v>
      </c>
      <c r="U353" s="106">
        <f t="shared" si="82"/>
        <v>0</v>
      </c>
      <c r="V353" s="26" t="e">
        <f t="shared" si="83"/>
        <v>#DIV/0!</v>
      </c>
    </row>
    <row r="354" spans="1:22" s="17" customFormat="1" ht="49.5" customHeight="1">
      <c r="A354" s="29">
        <v>3</v>
      </c>
      <c r="B354" s="17">
        <v>59</v>
      </c>
      <c r="C354" s="23" t="s">
        <v>217</v>
      </c>
      <c r="D354" s="23" t="s">
        <v>58</v>
      </c>
      <c r="E354" s="23" t="s">
        <v>67</v>
      </c>
      <c r="F354" s="40" t="s">
        <v>218</v>
      </c>
      <c r="G354" s="103">
        <v>827266</v>
      </c>
      <c r="H354" s="103">
        <v>662806</v>
      </c>
      <c r="I354" s="103">
        <v>827187.03</v>
      </c>
      <c r="J354" s="25">
        <f t="shared" si="84"/>
        <v>99.99045409819817</v>
      </c>
      <c r="K354" s="1"/>
      <c r="L354" s="103">
        <v>35188</v>
      </c>
      <c r="M354" s="103">
        <v>36000</v>
      </c>
      <c r="N354" s="103">
        <v>35188</v>
      </c>
      <c r="O354" s="117">
        <v>35188</v>
      </c>
      <c r="P354" s="25">
        <f t="shared" si="76"/>
        <v>100</v>
      </c>
      <c r="Q354" s="1">
        <v>20000</v>
      </c>
      <c r="R354" s="103">
        <f t="shared" si="79"/>
        <v>862454</v>
      </c>
      <c r="S354" s="103">
        <f t="shared" si="80"/>
        <v>698806</v>
      </c>
      <c r="T354" s="106">
        <f t="shared" si="81"/>
        <v>862375.03</v>
      </c>
      <c r="U354" s="106">
        <f t="shared" si="82"/>
        <v>35188</v>
      </c>
      <c r="V354" s="26">
        <f t="shared" si="83"/>
        <v>99.99084356962807</v>
      </c>
    </row>
    <row r="355" spans="1:22" s="17" customFormat="1" ht="26.25" customHeight="1">
      <c r="A355" s="29"/>
      <c r="C355" s="23" t="s">
        <v>220</v>
      </c>
      <c r="D355" s="23" t="s">
        <v>221</v>
      </c>
      <c r="E355" s="23" t="s">
        <v>66</v>
      </c>
      <c r="F355" s="40" t="s">
        <v>222</v>
      </c>
      <c r="G355" s="103">
        <f>G356</f>
        <v>503515</v>
      </c>
      <c r="H355" s="103">
        <f>H356</f>
        <v>440200</v>
      </c>
      <c r="I355" s="103">
        <f>I356</f>
        <v>498921.21</v>
      </c>
      <c r="J355" s="25">
        <f t="shared" si="84"/>
        <v>99.08765577986753</v>
      </c>
      <c r="K355" s="1">
        <f>K356</f>
        <v>0</v>
      </c>
      <c r="L355" s="103">
        <f>L356</f>
        <v>0</v>
      </c>
      <c r="M355" s="103">
        <f>M356</f>
        <v>0</v>
      </c>
      <c r="N355" s="103">
        <f>N356</f>
        <v>0</v>
      </c>
      <c r="O355" s="117">
        <f>O356</f>
        <v>0</v>
      </c>
      <c r="P355" s="25"/>
      <c r="Q355" s="1">
        <f>Q356</f>
        <v>0</v>
      </c>
      <c r="R355" s="103">
        <f t="shared" si="79"/>
        <v>503515</v>
      </c>
      <c r="S355" s="103">
        <f t="shared" si="80"/>
        <v>440200</v>
      </c>
      <c r="T355" s="106">
        <f t="shared" si="81"/>
        <v>498921.21</v>
      </c>
      <c r="U355" s="106">
        <f t="shared" si="82"/>
        <v>0</v>
      </c>
      <c r="V355" s="26">
        <f t="shared" si="83"/>
        <v>99.08765577986753</v>
      </c>
    </row>
    <row r="356" spans="1:22" s="20" customFormat="1" ht="49.5" customHeight="1">
      <c r="A356" s="30"/>
      <c r="C356" s="27"/>
      <c r="D356" s="27"/>
      <c r="E356" s="27"/>
      <c r="F356" s="28" t="s">
        <v>75</v>
      </c>
      <c r="G356" s="103">
        <v>503515</v>
      </c>
      <c r="H356" s="103">
        <v>440200</v>
      </c>
      <c r="I356" s="103">
        <v>498921.21</v>
      </c>
      <c r="J356" s="25">
        <f t="shared" si="84"/>
        <v>99.08765577986753</v>
      </c>
      <c r="K356" s="6"/>
      <c r="L356" s="103"/>
      <c r="M356" s="103"/>
      <c r="N356" s="103"/>
      <c r="O356" s="117"/>
      <c r="P356" s="25"/>
      <c r="Q356" s="1"/>
      <c r="R356" s="103">
        <f t="shared" si="79"/>
        <v>503515</v>
      </c>
      <c r="S356" s="103">
        <f t="shared" si="80"/>
        <v>440200</v>
      </c>
      <c r="T356" s="106">
        <f t="shared" si="81"/>
        <v>498921.21</v>
      </c>
      <c r="U356" s="106">
        <f t="shared" si="82"/>
        <v>0</v>
      </c>
      <c r="V356" s="26">
        <f t="shared" si="83"/>
        <v>99.08765577986753</v>
      </c>
    </row>
    <row r="357" spans="1:22" s="17" customFormat="1" ht="37.5" customHeight="1">
      <c r="A357" s="29"/>
      <c r="C357" s="23" t="s">
        <v>219</v>
      </c>
      <c r="D357" s="23" t="s">
        <v>110</v>
      </c>
      <c r="E357" s="23" t="s">
        <v>28</v>
      </c>
      <c r="F357" s="40" t="s">
        <v>353</v>
      </c>
      <c r="G357" s="103">
        <f>G358+G359</f>
        <v>486340</v>
      </c>
      <c r="H357" s="103">
        <f aca="true" t="shared" si="85" ref="H357:Q357">H358+H359</f>
        <v>478000</v>
      </c>
      <c r="I357" s="103">
        <f t="shared" si="85"/>
        <v>474439.5</v>
      </c>
      <c r="J357" s="25">
        <f t="shared" si="84"/>
        <v>97.55304930706913</v>
      </c>
      <c r="K357" s="103">
        <f t="shared" si="85"/>
        <v>0</v>
      </c>
      <c r="L357" s="103">
        <f t="shared" si="85"/>
        <v>0</v>
      </c>
      <c r="M357" s="103">
        <f t="shared" si="85"/>
        <v>0</v>
      </c>
      <c r="N357" s="103">
        <f t="shared" si="85"/>
        <v>0</v>
      </c>
      <c r="O357" s="103">
        <f t="shared" si="85"/>
        <v>0</v>
      </c>
      <c r="P357" s="25"/>
      <c r="Q357" s="103">
        <f t="shared" si="85"/>
        <v>0</v>
      </c>
      <c r="R357" s="103">
        <f t="shared" si="79"/>
        <v>486340</v>
      </c>
      <c r="S357" s="103">
        <f t="shared" si="80"/>
        <v>478000</v>
      </c>
      <c r="T357" s="106">
        <f t="shared" si="81"/>
        <v>474439.5</v>
      </c>
      <c r="U357" s="106">
        <f t="shared" si="82"/>
        <v>0</v>
      </c>
      <c r="V357" s="26">
        <f t="shared" si="83"/>
        <v>97.55304930706913</v>
      </c>
    </row>
    <row r="358" spans="3:22" s="20" customFormat="1" ht="106.5" customHeight="1">
      <c r="C358" s="27"/>
      <c r="D358" s="27"/>
      <c r="E358" s="27"/>
      <c r="F358" s="91" t="s">
        <v>456</v>
      </c>
      <c r="G358" s="103">
        <v>323340</v>
      </c>
      <c r="H358" s="103">
        <v>315000</v>
      </c>
      <c r="I358" s="103">
        <v>311439.5</v>
      </c>
      <c r="J358" s="25">
        <f t="shared" si="84"/>
        <v>96.31950887610566</v>
      </c>
      <c r="K358" s="6"/>
      <c r="L358" s="104"/>
      <c r="M358" s="104"/>
      <c r="N358" s="104"/>
      <c r="O358" s="118"/>
      <c r="P358" s="25"/>
      <c r="Q358" s="6"/>
      <c r="R358" s="103">
        <f t="shared" si="79"/>
        <v>323340</v>
      </c>
      <c r="S358" s="103">
        <f t="shared" si="80"/>
        <v>315000</v>
      </c>
      <c r="T358" s="106">
        <f t="shared" si="81"/>
        <v>311439.5</v>
      </c>
      <c r="U358" s="106">
        <f t="shared" si="82"/>
        <v>0</v>
      </c>
      <c r="V358" s="26">
        <f t="shared" si="83"/>
        <v>96.31950887610566</v>
      </c>
    </row>
    <row r="359" spans="3:22" s="20" customFormat="1" ht="46.5" customHeight="1">
      <c r="C359" s="27"/>
      <c r="D359" s="27"/>
      <c r="E359" s="27"/>
      <c r="F359" s="91" t="s">
        <v>75</v>
      </c>
      <c r="G359" s="103">
        <v>163000</v>
      </c>
      <c r="H359" s="103">
        <v>163000</v>
      </c>
      <c r="I359" s="103">
        <v>163000</v>
      </c>
      <c r="J359" s="25">
        <f t="shared" si="84"/>
        <v>100</v>
      </c>
      <c r="K359" s="6"/>
      <c r="L359" s="104"/>
      <c r="M359" s="104"/>
      <c r="N359" s="104"/>
      <c r="O359" s="118"/>
      <c r="P359" s="25"/>
      <c r="Q359" s="6"/>
      <c r="R359" s="103">
        <f t="shared" si="79"/>
        <v>163000</v>
      </c>
      <c r="S359" s="103">
        <f t="shared" si="80"/>
        <v>163000</v>
      </c>
      <c r="T359" s="106">
        <f t="shared" si="81"/>
        <v>163000</v>
      </c>
      <c r="U359" s="106">
        <f t="shared" si="82"/>
        <v>0</v>
      </c>
      <c r="V359" s="26">
        <f t="shared" si="83"/>
        <v>100</v>
      </c>
    </row>
    <row r="360" spans="3:22" s="29" customFormat="1" ht="34.5" customHeight="1">
      <c r="C360" s="18"/>
      <c r="D360" s="18"/>
      <c r="E360" s="18"/>
      <c r="F360" s="49" t="s">
        <v>5</v>
      </c>
      <c r="G360" s="108">
        <f>G344+G349+G351+G354+G355+G357</f>
        <v>6198090</v>
      </c>
      <c r="H360" s="108">
        <f>H344+H349+H351+H354+H355+H357</f>
        <v>5219555</v>
      </c>
      <c r="I360" s="108">
        <f>I344+I349+I351+I354+I355+I357</f>
        <v>6177298.5</v>
      </c>
      <c r="J360" s="25">
        <f t="shared" si="84"/>
        <v>99.66454988552925</v>
      </c>
      <c r="K360" s="7">
        <f>K344+K349+K351+K354+K355+K357</f>
        <v>0</v>
      </c>
      <c r="L360" s="108">
        <f>L344+L349+L351+L354+L355+L357+L347</f>
        <v>4425946</v>
      </c>
      <c r="M360" s="108">
        <f>M344+M349+M351+M354+M355+M357+M347</f>
        <v>1979098</v>
      </c>
      <c r="N360" s="108">
        <f>N344+N349+N351+N354+N355+N357+N347</f>
        <v>700963.96</v>
      </c>
      <c r="O360" s="108">
        <f>O344+O349+O351+O354+O355+O357+O347</f>
        <v>700963.96</v>
      </c>
      <c r="P360" s="39">
        <f>N360/L360*100</f>
        <v>15.837607598465956</v>
      </c>
      <c r="Q360" s="7">
        <f>Q344+Q349+Q351+Q354+Q355+Q357</f>
        <v>1388700</v>
      </c>
      <c r="R360" s="103">
        <f t="shared" si="79"/>
        <v>10624036</v>
      </c>
      <c r="S360" s="103">
        <f t="shared" si="80"/>
        <v>7198653</v>
      </c>
      <c r="T360" s="106">
        <f t="shared" si="81"/>
        <v>6878262.46</v>
      </c>
      <c r="U360" s="106">
        <f t="shared" si="82"/>
        <v>700963.96</v>
      </c>
      <c r="V360" s="26">
        <f t="shared" si="83"/>
        <v>64.7424619043083</v>
      </c>
    </row>
    <row r="361" spans="3:22" s="29" customFormat="1" ht="22.5" customHeight="1">
      <c r="C361" s="18" t="s">
        <v>106</v>
      </c>
      <c r="D361" s="18"/>
      <c r="E361" s="18"/>
      <c r="F361" s="38" t="s">
        <v>374</v>
      </c>
      <c r="G361" s="108"/>
      <c r="H361" s="108"/>
      <c r="I361" s="108"/>
      <c r="J361" s="25"/>
      <c r="K361" s="7"/>
      <c r="L361" s="108"/>
      <c r="M361" s="108"/>
      <c r="N361" s="108"/>
      <c r="O361" s="123"/>
      <c r="P361" s="25"/>
      <c r="Q361" s="7"/>
      <c r="R361" s="103"/>
      <c r="S361" s="103"/>
      <c r="T361" s="106"/>
      <c r="U361" s="106"/>
      <c r="V361" s="26"/>
    </row>
    <row r="362" spans="3:22" s="20" customFormat="1" ht="21.75" customHeight="1">
      <c r="C362" s="21" t="s">
        <v>107</v>
      </c>
      <c r="D362" s="27"/>
      <c r="E362" s="27"/>
      <c r="F362" s="31" t="s">
        <v>435</v>
      </c>
      <c r="G362" s="104"/>
      <c r="H362" s="104"/>
      <c r="I362" s="104"/>
      <c r="J362" s="25"/>
      <c r="K362" s="6"/>
      <c r="L362" s="104"/>
      <c r="M362" s="104"/>
      <c r="N362" s="104"/>
      <c r="O362" s="118"/>
      <c r="P362" s="25"/>
      <c r="Q362" s="6"/>
      <c r="R362" s="103"/>
      <c r="S362" s="103"/>
      <c r="T362" s="106"/>
      <c r="U362" s="106"/>
      <c r="V362" s="26"/>
    </row>
    <row r="363" spans="1:22" s="17" customFormat="1" ht="46.5" customHeight="1">
      <c r="A363" s="17">
        <v>6</v>
      </c>
      <c r="B363" s="17">
        <v>45</v>
      </c>
      <c r="C363" s="23" t="s">
        <v>261</v>
      </c>
      <c r="D363" s="23" t="s">
        <v>32</v>
      </c>
      <c r="E363" s="23" t="s">
        <v>29</v>
      </c>
      <c r="F363" s="40" t="s">
        <v>98</v>
      </c>
      <c r="G363" s="103">
        <f>G364+G365</f>
        <v>5294599</v>
      </c>
      <c r="H363" s="103">
        <f>H364+H365</f>
        <v>4176579</v>
      </c>
      <c r="I363" s="103">
        <f>I364+I365</f>
        <v>5256924.63</v>
      </c>
      <c r="J363" s="25">
        <f t="shared" si="84"/>
        <v>99.28843770793596</v>
      </c>
      <c r="K363" s="1"/>
      <c r="L363" s="103">
        <f>L364+L365</f>
        <v>14000</v>
      </c>
      <c r="M363" s="103">
        <f>M364+M365</f>
        <v>0</v>
      </c>
      <c r="N363" s="103">
        <f>N364+N365</f>
        <v>14000</v>
      </c>
      <c r="O363" s="103">
        <f>O364+O365</f>
        <v>14000</v>
      </c>
      <c r="P363" s="25">
        <f>N363/L363*100</f>
        <v>100</v>
      </c>
      <c r="Q363" s="1"/>
      <c r="R363" s="103">
        <f t="shared" si="79"/>
        <v>5308599</v>
      </c>
      <c r="S363" s="103">
        <f t="shared" si="80"/>
        <v>4176579</v>
      </c>
      <c r="T363" s="106">
        <f t="shared" si="81"/>
        <v>5270924.63</v>
      </c>
      <c r="U363" s="106">
        <f t="shared" si="82"/>
        <v>14000</v>
      </c>
      <c r="V363" s="26">
        <f t="shared" si="83"/>
        <v>99.29031426182313</v>
      </c>
    </row>
    <row r="364" spans="3:22" s="17" customFormat="1" ht="22.5" customHeight="1">
      <c r="C364" s="23"/>
      <c r="D364" s="23"/>
      <c r="E364" s="23"/>
      <c r="F364" s="60" t="s">
        <v>475</v>
      </c>
      <c r="G364" s="103">
        <v>5285879</v>
      </c>
      <c r="H364" s="103">
        <v>4167859</v>
      </c>
      <c r="I364" s="103">
        <v>5252064.63</v>
      </c>
      <c r="J364" s="25">
        <f t="shared" si="84"/>
        <v>99.36028861046573</v>
      </c>
      <c r="K364" s="1"/>
      <c r="L364" s="103">
        <v>14000</v>
      </c>
      <c r="M364" s="103">
        <v>0</v>
      </c>
      <c r="N364" s="103">
        <v>14000</v>
      </c>
      <c r="O364" s="117">
        <f>N364</f>
        <v>14000</v>
      </c>
      <c r="P364" s="25">
        <f>N364/L364*100</f>
        <v>100</v>
      </c>
      <c r="Q364" s="1"/>
      <c r="R364" s="103">
        <f t="shared" si="79"/>
        <v>5299879</v>
      </c>
      <c r="S364" s="103">
        <f t="shared" si="80"/>
        <v>4167859</v>
      </c>
      <c r="T364" s="106">
        <f t="shared" si="81"/>
        <v>5266064.63</v>
      </c>
      <c r="U364" s="106">
        <f t="shared" si="82"/>
        <v>14000</v>
      </c>
      <c r="V364" s="26">
        <f t="shared" si="83"/>
        <v>99.36197845271562</v>
      </c>
    </row>
    <row r="365" spans="3:22" s="17" customFormat="1" ht="55.5" customHeight="1">
      <c r="C365" s="23"/>
      <c r="D365" s="23"/>
      <c r="E365" s="23"/>
      <c r="F365" s="90" t="s">
        <v>450</v>
      </c>
      <c r="G365" s="103">
        <v>8720</v>
      </c>
      <c r="H365" s="103">
        <v>8720</v>
      </c>
      <c r="I365" s="103">
        <v>4860</v>
      </c>
      <c r="J365" s="25">
        <f t="shared" si="84"/>
        <v>55.73394495412845</v>
      </c>
      <c r="K365" s="1"/>
      <c r="L365" s="103"/>
      <c r="M365" s="103"/>
      <c r="N365" s="103"/>
      <c r="O365" s="117"/>
      <c r="P365" s="25"/>
      <c r="Q365" s="1"/>
      <c r="R365" s="103">
        <f t="shared" si="79"/>
        <v>8720</v>
      </c>
      <c r="S365" s="103">
        <f t="shared" si="80"/>
        <v>8720</v>
      </c>
      <c r="T365" s="106">
        <f t="shared" si="81"/>
        <v>4860</v>
      </c>
      <c r="U365" s="106">
        <f t="shared" si="82"/>
        <v>0</v>
      </c>
      <c r="V365" s="26">
        <f t="shared" si="83"/>
        <v>55.73394495412845</v>
      </c>
    </row>
    <row r="366" spans="3:22" s="20" customFormat="1" ht="45.75" customHeight="1" hidden="1">
      <c r="C366" s="23" t="s">
        <v>307</v>
      </c>
      <c r="D366" s="23" t="s">
        <v>253</v>
      </c>
      <c r="E366" s="23" t="s">
        <v>30</v>
      </c>
      <c r="F366" s="24" t="s">
        <v>203</v>
      </c>
      <c r="G366" s="103">
        <f>SUM(G367:G368)</f>
        <v>0</v>
      </c>
      <c r="H366" s="103">
        <f>SUM(H367:H368)</f>
        <v>1848924.45</v>
      </c>
      <c r="I366" s="103">
        <f aca="true" t="shared" si="86" ref="I366:Q366">SUM(I367:I368)</f>
        <v>0</v>
      </c>
      <c r="J366" s="25" t="e">
        <f t="shared" si="84"/>
        <v>#DIV/0!</v>
      </c>
      <c r="K366" s="103">
        <f t="shared" si="86"/>
        <v>0</v>
      </c>
      <c r="L366" s="103">
        <f t="shared" si="86"/>
        <v>0</v>
      </c>
      <c r="M366" s="103">
        <f t="shared" si="86"/>
        <v>0</v>
      </c>
      <c r="N366" s="103">
        <f t="shared" si="86"/>
        <v>0</v>
      </c>
      <c r="O366" s="103">
        <f t="shared" si="86"/>
        <v>0</v>
      </c>
      <c r="P366" s="25"/>
      <c r="Q366" s="103">
        <f t="shared" si="86"/>
        <v>0</v>
      </c>
      <c r="R366" s="103">
        <f t="shared" si="79"/>
        <v>0</v>
      </c>
      <c r="S366" s="103">
        <f t="shared" si="80"/>
        <v>1848924.45</v>
      </c>
      <c r="T366" s="106">
        <f t="shared" si="81"/>
        <v>0</v>
      </c>
      <c r="U366" s="106">
        <f t="shared" si="82"/>
        <v>0</v>
      </c>
      <c r="V366" s="26" t="e">
        <f t="shared" si="83"/>
        <v>#DIV/0!</v>
      </c>
    </row>
    <row r="367" spans="3:22" s="20" customFormat="1" ht="33" customHeight="1" hidden="1">
      <c r="C367" s="27"/>
      <c r="D367" s="27"/>
      <c r="E367" s="27"/>
      <c r="F367" s="31" t="s">
        <v>308</v>
      </c>
      <c r="G367" s="103"/>
      <c r="H367" s="103">
        <v>43013.45</v>
      </c>
      <c r="I367" s="103"/>
      <c r="J367" s="25" t="e">
        <f t="shared" si="84"/>
        <v>#DIV/0!</v>
      </c>
      <c r="K367" s="5"/>
      <c r="L367" s="103"/>
      <c r="M367" s="103"/>
      <c r="N367" s="112"/>
      <c r="O367" s="122"/>
      <c r="P367" s="25"/>
      <c r="Q367" s="36"/>
      <c r="R367" s="103">
        <f t="shared" si="79"/>
        <v>0</v>
      </c>
      <c r="S367" s="103">
        <f t="shared" si="80"/>
        <v>43013.45</v>
      </c>
      <c r="T367" s="106">
        <f t="shared" si="81"/>
        <v>0</v>
      </c>
      <c r="U367" s="106">
        <f t="shared" si="82"/>
        <v>0</v>
      </c>
      <c r="V367" s="26" t="e">
        <f t="shared" si="83"/>
        <v>#DIV/0!</v>
      </c>
    </row>
    <row r="368" spans="3:22" s="20" customFormat="1" ht="81" customHeight="1" hidden="1">
      <c r="C368" s="27"/>
      <c r="D368" s="27"/>
      <c r="E368" s="27"/>
      <c r="F368" s="31" t="s">
        <v>487</v>
      </c>
      <c r="G368" s="103"/>
      <c r="H368" s="103">
        <v>1805911</v>
      </c>
      <c r="I368" s="103"/>
      <c r="J368" s="25" t="e">
        <f t="shared" si="84"/>
        <v>#DIV/0!</v>
      </c>
      <c r="K368" s="5"/>
      <c r="L368" s="103"/>
      <c r="M368" s="103"/>
      <c r="N368" s="112"/>
      <c r="O368" s="122"/>
      <c r="P368" s="25"/>
      <c r="Q368" s="36"/>
      <c r="R368" s="103">
        <f t="shared" si="79"/>
        <v>0</v>
      </c>
      <c r="S368" s="103">
        <f t="shared" si="80"/>
        <v>1805911</v>
      </c>
      <c r="T368" s="106">
        <f t="shared" si="81"/>
        <v>0</v>
      </c>
      <c r="U368" s="106">
        <f t="shared" si="82"/>
        <v>0</v>
      </c>
      <c r="V368" s="26" t="e">
        <f t="shared" si="83"/>
        <v>#DIV/0!</v>
      </c>
    </row>
    <row r="369" spans="3:22" s="20" customFormat="1" ht="62.25" hidden="1">
      <c r="C369" s="23" t="s">
        <v>508</v>
      </c>
      <c r="D369" s="23" t="s">
        <v>509</v>
      </c>
      <c r="E369" s="27"/>
      <c r="F369" s="133" t="s">
        <v>510</v>
      </c>
      <c r="G369" s="103"/>
      <c r="H369" s="103">
        <v>3159354</v>
      </c>
      <c r="I369" s="103"/>
      <c r="J369" s="25" t="e">
        <f t="shared" si="84"/>
        <v>#DIV/0!</v>
      </c>
      <c r="K369" s="5"/>
      <c r="L369" s="103"/>
      <c r="M369" s="103"/>
      <c r="N369" s="112"/>
      <c r="O369" s="122"/>
      <c r="P369" s="25"/>
      <c r="Q369" s="36"/>
      <c r="R369" s="103">
        <f aca="true" t="shared" si="87" ref="R369:T370">G369+L369</f>
        <v>0</v>
      </c>
      <c r="S369" s="103">
        <f t="shared" si="87"/>
        <v>3159354</v>
      </c>
      <c r="T369" s="106">
        <f t="shared" si="87"/>
        <v>0</v>
      </c>
      <c r="U369" s="106">
        <f>O369</f>
        <v>0</v>
      </c>
      <c r="V369" s="26" t="e">
        <f>T369/R369*100</f>
        <v>#DIV/0!</v>
      </c>
    </row>
    <row r="370" spans="1:22" s="17" customFormat="1" ht="21" customHeight="1" hidden="1">
      <c r="A370" s="17">
        <v>2</v>
      </c>
      <c r="B370" s="17">
        <v>46</v>
      </c>
      <c r="C370" s="23" t="s">
        <v>223</v>
      </c>
      <c r="D370" s="23" t="s">
        <v>338</v>
      </c>
      <c r="E370" s="23" t="s">
        <v>40</v>
      </c>
      <c r="F370" s="40" t="s">
        <v>0</v>
      </c>
      <c r="G370" s="103"/>
      <c r="H370" s="103"/>
      <c r="I370" s="103"/>
      <c r="J370" s="25" t="e">
        <f t="shared" si="84"/>
        <v>#DIV/0!</v>
      </c>
      <c r="K370" s="5"/>
      <c r="L370" s="103"/>
      <c r="M370" s="103"/>
      <c r="N370" s="107"/>
      <c r="O370" s="119"/>
      <c r="P370" s="25"/>
      <c r="Q370" s="5"/>
      <c r="R370" s="103">
        <f t="shared" si="87"/>
        <v>0</v>
      </c>
      <c r="S370" s="103">
        <f t="shared" si="87"/>
        <v>0</v>
      </c>
      <c r="T370" s="106">
        <f t="shared" si="87"/>
        <v>0</v>
      </c>
      <c r="U370" s="106">
        <f>O370</f>
        <v>0</v>
      </c>
      <c r="V370" s="26" t="e">
        <f>T370/R370*100</f>
        <v>#DIV/0!</v>
      </c>
    </row>
    <row r="371" spans="1:22" s="17" customFormat="1" ht="25.5" customHeight="1">
      <c r="A371" s="29">
        <v>4</v>
      </c>
      <c r="B371" s="17">
        <v>46</v>
      </c>
      <c r="C371" s="41" t="s">
        <v>224</v>
      </c>
      <c r="D371" s="41" t="s">
        <v>225</v>
      </c>
      <c r="E371" s="41" t="s">
        <v>28</v>
      </c>
      <c r="F371" s="40" t="s">
        <v>12</v>
      </c>
      <c r="G371" s="103">
        <v>63473000</v>
      </c>
      <c r="H371" s="103">
        <v>47604600</v>
      </c>
      <c r="I371" s="103">
        <v>63473000</v>
      </c>
      <c r="J371" s="25">
        <f>I371/G371*100</f>
        <v>100</v>
      </c>
      <c r="K371" s="1"/>
      <c r="L371" s="103"/>
      <c r="M371" s="103"/>
      <c r="N371" s="121"/>
      <c r="O371" s="117"/>
      <c r="P371" s="25"/>
      <c r="Q371" s="1"/>
      <c r="R371" s="103">
        <f t="shared" si="79"/>
        <v>63473000</v>
      </c>
      <c r="S371" s="103">
        <f t="shared" si="80"/>
        <v>47604600</v>
      </c>
      <c r="T371" s="106">
        <f t="shared" si="81"/>
        <v>63473000</v>
      </c>
      <c r="U371" s="106">
        <f t="shared" si="82"/>
        <v>0</v>
      </c>
      <c r="V371" s="26">
        <f t="shared" si="83"/>
        <v>100</v>
      </c>
    </row>
    <row r="372" spans="3:22" s="29" customFormat="1" ht="25.5" customHeight="1">
      <c r="C372" s="18"/>
      <c r="D372" s="18"/>
      <c r="E372" s="18"/>
      <c r="F372" s="45" t="s">
        <v>5</v>
      </c>
      <c r="G372" s="114">
        <f>G363+G366+G370+G371+G369</f>
        <v>68767599</v>
      </c>
      <c r="H372" s="114">
        <f>H363+H366+H370+H371+H369</f>
        <v>56789457.45</v>
      </c>
      <c r="I372" s="114">
        <f>I363+I366+I370+I371</f>
        <v>68729924.63</v>
      </c>
      <c r="J372" s="25">
        <f t="shared" si="84"/>
        <v>99.94521494054199</v>
      </c>
      <c r="K372" s="13" t="e">
        <f>K363+#REF!+K366++#REF!+#REF!+K370+K371+#REF!+#REF!+#REF!</f>
        <v>#REF!</v>
      </c>
      <c r="L372" s="114">
        <f>L363+L366+L370+L371</f>
        <v>14000</v>
      </c>
      <c r="M372" s="114">
        <f>M363+M366+M370+M371</f>
        <v>0</v>
      </c>
      <c r="N372" s="114">
        <f>N363+N366+N370+N371</f>
        <v>14000</v>
      </c>
      <c r="O372" s="114">
        <f>O363+O366+O370+O371</f>
        <v>14000</v>
      </c>
      <c r="P372" s="39">
        <f>N372/L372*100</f>
        <v>100</v>
      </c>
      <c r="Q372" s="13" t="e">
        <f>Q363+#REF!+Q366++#REF!+#REF!+Q370+Q371+#REF!+#REF!+#REF!</f>
        <v>#REF!</v>
      </c>
      <c r="R372" s="103">
        <f t="shared" si="79"/>
        <v>68781599</v>
      </c>
      <c r="S372" s="103">
        <f t="shared" si="80"/>
        <v>56789457.45</v>
      </c>
      <c r="T372" s="106">
        <f t="shared" si="81"/>
        <v>68743924.63</v>
      </c>
      <c r="U372" s="106">
        <f t="shared" si="82"/>
        <v>14000</v>
      </c>
      <c r="V372" s="26">
        <f t="shared" si="83"/>
        <v>99.94522609164697</v>
      </c>
    </row>
    <row r="373" spans="3:22" s="29" customFormat="1" ht="28.5" customHeight="1">
      <c r="C373" s="18"/>
      <c r="D373" s="18"/>
      <c r="E373" s="18"/>
      <c r="F373" s="19" t="s">
        <v>11</v>
      </c>
      <c r="G373" s="114">
        <f>G360+G246+G372+G324+G199+G182+G86+G37+G341</f>
        <v>463679186.69</v>
      </c>
      <c r="H373" s="114">
        <f>H360+H246+H372+H324+H199+H182+H86+H37+H341</f>
        <v>380105208.55</v>
      </c>
      <c r="I373" s="114">
        <f>I360+I246+I372+I324+I199+I182+I86+I37+I341</f>
        <v>453062759.2199999</v>
      </c>
      <c r="J373" s="25">
        <f t="shared" si="84"/>
        <v>97.71039378631893</v>
      </c>
      <c r="K373" s="13" t="e">
        <f>K360+K246+K372+K324+K199+K182+K86+K37+K341</f>
        <v>#REF!</v>
      </c>
      <c r="L373" s="114">
        <f>L360+L246+L372+L324+L199+L182+L86+L37+L341</f>
        <v>65885660.29000001</v>
      </c>
      <c r="M373" s="114">
        <f>M360+M246+M372+M324+M199+M182+M86+M37+M341</f>
        <v>69008504.9</v>
      </c>
      <c r="N373" s="114">
        <f>N360+N246+N372+N324+N199+N182+N86+N37+N341</f>
        <v>56637780.94</v>
      </c>
      <c r="O373" s="114">
        <f>O360+O246+O372+O324+O199+O182+O86+O37+O341</f>
        <v>45842454.04000001</v>
      </c>
      <c r="P373" s="39">
        <f>N373/L373*100</f>
        <v>85.96374490398235</v>
      </c>
      <c r="Q373" s="13" t="e">
        <f>Q360+Q246+Q372+Q324+Q199+Q182+Q86+Q37+Q341</f>
        <v>#REF!</v>
      </c>
      <c r="R373" s="108">
        <f>G373+L373</f>
        <v>529564846.98</v>
      </c>
      <c r="S373" s="108">
        <f t="shared" si="80"/>
        <v>449113713.45000005</v>
      </c>
      <c r="T373" s="130">
        <f t="shared" si="81"/>
        <v>509700540.1599999</v>
      </c>
      <c r="U373" s="130">
        <f t="shared" si="82"/>
        <v>45842454.04000001</v>
      </c>
      <c r="V373" s="87">
        <f t="shared" si="83"/>
        <v>96.24893779613919</v>
      </c>
    </row>
    <row r="374" spans="3:22" s="44" customFormat="1" ht="30" customHeight="1">
      <c r="C374" s="23"/>
      <c r="D374" s="23"/>
      <c r="E374" s="23"/>
      <c r="F374" s="40" t="s">
        <v>488</v>
      </c>
      <c r="G374" s="103">
        <f>G23+G40+G89+G190+G316+G369+G305</f>
        <v>75993970.75999999</v>
      </c>
      <c r="H374" s="103">
        <f>H23+H40+H89+H190+H316+H369+H305</f>
        <v>60276686.36</v>
      </c>
      <c r="I374" s="103">
        <f>I23+I40+I89+I190+I316+I369+I305</f>
        <v>75570307.11999999</v>
      </c>
      <c r="J374" s="25">
        <f t="shared" si="84"/>
        <v>99.44250361474334</v>
      </c>
      <c r="K374" s="1" t="e">
        <f>K89+K40+K268+#REF!+K305+K190+#REF!+K138+K64</f>
        <v>#REF!</v>
      </c>
      <c r="L374" s="103">
        <f>L40+L89+L190+L348+L316+L305</f>
        <v>9142165.16</v>
      </c>
      <c r="M374" s="103">
        <f>M40+M89+M190+M348+M316+M305</f>
        <v>4981001.5600000005</v>
      </c>
      <c r="N374" s="103">
        <f>N40+N89+N190+N348+N316+N305</f>
        <v>4874728.16</v>
      </c>
      <c r="O374" s="103">
        <f>O40+O89+O190+O348+O316+O305</f>
        <v>1314728.1600000001</v>
      </c>
      <c r="P374" s="25">
        <f>N374/L374*100</f>
        <v>53.32137491158604</v>
      </c>
      <c r="Q374" s="64" t="e">
        <f>Q89+Q40+Q268+#REF!+Q305+Q190+#REF!+Q138+Q64</f>
        <v>#REF!</v>
      </c>
      <c r="R374" s="103">
        <f t="shared" si="79"/>
        <v>85136135.91999999</v>
      </c>
      <c r="S374" s="103">
        <f t="shared" si="80"/>
        <v>65257687.92</v>
      </c>
      <c r="T374" s="106">
        <f>I374+N374</f>
        <v>80445035.27999999</v>
      </c>
      <c r="U374" s="106">
        <f t="shared" si="82"/>
        <v>1314728.1600000001</v>
      </c>
      <c r="V374" s="26">
        <f t="shared" si="83"/>
        <v>94.48988306867945</v>
      </c>
    </row>
    <row r="375" spans="3:22" s="65" customFormat="1" ht="24.75" customHeight="1">
      <c r="C375" s="66"/>
      <c r="D375" s="66"/>
      <c r="E375" s="66"/>
      <c r="F375" s="67" t="s">
        <v>19</v>
      </c>
      <c r="G375" s="115">
        <f>G52</f>
        <v>54926700</v>
      </c>
      <c r="H375" s="115">
        <f>H52</f>
        <v>40570200</v>
      </c>
      <c r="I375" s="115">
        <f>I52</f>
        <v>54926700</v>
      </c>
      <c r="J375" s="25">
        <f t="shared" si="84"/>
        <v>100</v>
      </c>
      <c r="K375" s="10">
        <f>K52</f>
        <v>0</v>
      </c>
      <c r="L375" s="115">
        <f>L52</f>
        <v>0</v>
      </c>
      <c r="M375" s="115">
        <f>M52</f>
        <v>0</v>
      </c>
      <c r="N375" s="115">
        <f>N52</f>
        <v>0</v>
      </c>
      <c r="O375" s="145">
        <f>O52</f>
        <v>0</v>
      </c>
      <c r="P375" s="25"/>
      <c r="Q375" s="10">
        <f>Q52</f>
        <v>0</v>
      </c>
      <c r="R375" s="103">
        <f t="shared" si="79"/>
        <v>54926700</v>
      </c>
      <c r="S375" s="103">
        <f t="shared" si="80"/>
        <v>40570200</v>
      </c>
      <c r="T375" s="106">
        <f t="shared" si="81"/>
        <v>54926700</v>
      </c>
      <c r="U375" s="106">
        <f t="shared" si="82"/>
        <v>0</v>
      </c>
      <c r="V375" s="26">
        <f t="shared" si="83"/>
        <v>100</v>
      </c>
    </row>
    <row r="376" spans="3:22" s="68" customFormat="1" ht="21" customHeight="1">
      <c r="C376" s="69"/>
      <c r="D376" s="69"/>
      <c r="E376" s="69"/>
      <c r="F376" s="70" t="s">
        <v>20</v>
      </c>
      <c r="G376" s="116">
        <f aca="true" t="shared" si="88" ref="G376:O376">G95</f>
        <v>7787500</v>
      </c>
      <c r="H376" s="116">
        <f t="shared" si="88"/>
        <v>7787500</v>
      </c>
      <c r="I376" s="116">
        <f t="shared" si="88"/>
        <v>7787500</v>
      </c>
      <c r="J376" s="25">
        <f t="shared" si="84"/>
        <v>100</v>
      </c>
      <c r="K376" s="11">
        <f t="shared" si="88"/>
        <v>0</v>
      </c>
      <c r="L376" s="116">
        <f t="shared" si="88"/>
        <v>0</v>
      </c>
      <c r="M376" s="116">
        <f t="shared" si="88"/>
        <v>0</v>
      </c>
      <c r="N376" s="116">
        <f t="shared" si="88"/>
        <v>0</v>
      </c>
      <c r="O376" s="145">
        <f t="shared" si="88"/>
        <v>0</v>
      </c>
      <c r="P376" s="25"/>
      <c r="Q376" s="11">
        <f>Q95</f>
        <v>0</v>
      </c>
      <c r="R376" s="103">
        <f t="shared" si="79"/>
        <v>7787500</v>
      </c>
      <c r="S376" s="103">
        <f t="shared" si="80"/>
        <v>7787500</v>
      </c>
      <c r="T376" s="106">
        <f t="shared" si="81"/>
        <v>7787500</v>
      </c>
      <c r="U376" s="106">
        <f t="shared" si="82"/>
        <v>0</v>
      </c>
      <c r="V376" s="26">
        <f t="shared" si="83"/>
        <v>100</v>
      </c>
    </row>
    <row r="377" spans="3:19" s="78" customFormat="1" ht="75" customHeight="1">
      <c r="C377" s="167" t="s">
        <v>522</v>
      </c>
      <c r="D377" s="167"/>
      <c r="E377" s="167"/>
      <c r="F377" s="167"/>
      <c r="G377" s="167"/>
      <c r="H377" s="167"/>
      <c r="I377" s="142"/>
      <c r="K377" s="77"/>
      <c r="L377" s="77"/>
      <c r="M377" s="77"/>
      <c r="N377" s="95"/>
      <c r="O377" s="99"/>
      <c r="P377" s="168" t="s">
        <v>523</v>
      </c>
      <c r="Q377" s="168"/>
      <c r="R377" s="168"/>
      <c r="S377" s="168"/>
    </row>
  </sheetData>
  <sheetProtection/>
  <mergeCells count="28">
    <mergeCell ref="C377:H377"/>
    <mergeCell ref="P377:S377"/>
    <mergeCell ref="P10:P12"/>
    <mergeCell ref="Q10:Q12"/>
    <mergeCell ref="R10:R12"/>
    <mergeCell ref="S10:S12"/>
    <mergeCell ref="G10:G12"/>
    <mergeCell ref="H10:H12"/>
    <mergeCell ref="V10:V12"/>
    <mergeCell ref="I10:I12"/>
    <mergeCell ref="J10:J12"/>
    <mergeCell ref="K10:K12"/>
    <mergeCell ref="L10:L12"/>
    <mergeCell ref="M10:M12"/>
    <mergeCell ref="N10:N12"/>
    <mergeCell ref="O11:O12"/>
    <mergeCell ref="U11:U12"/>
    <mergeCell ref="T10:T12"/>
    <mergeCell ref="C6:V6"/>
    <mergeCell ref="C7:V7"/>
    <mergeCell ref="C4:V4"/>
    <mergeCell ref="C9:C12"/>
    <mergeCell ref="D9:D12"/>
    <mergeCell ref="E9:E12"/>
    <mergeCell ref="F9:F12"/>
    <mergeCell ref="G9:K9"/>
    <mergeCell ref="L9:Q9"/>
    <mergeCell ref="R9:V9"/>
  </mergeCells>
  <conditionalFormatting sqref="N46:N50 N52:O52 N367:O370 K367:K370 N61:O61 N350:O350 H349:I350 M349:O349 N67:O68 Q67:Q68 Q55:Q61 Q70 Q52 K349:K350 Q63:Q65 M63:O65 Q46:Q50 N54:N60 N70:O73 Q349:Q350 Q367:Q370">
    <cfRule type="cellIs" priority="85" dxfId="77" operator="equal" stopIfTrue="1">
      <formula>0</formula>
    </cfRule>
  </conditionalFormatting>
  <conditionalFormatting sqref="Q71:Q73">
    <cfRule type="cellIs" priority="84" dxfId="77" operator="equal" stopIfTrue="1">
      <formula>0</formula>
    </cfRule>
  </conditionalFormatting>
  <conditionalFormatting sqref="N330:O332 I330:I332 I334 N334:O334 K334 K330:K332 Q334 Q330:Q332">
    <cfRule type="cellIs" priority="83" dxfId="77" operator="equal" stopIfTrue="1">
      <formula>0</formula>
    </cfRule>
  </conditionalFormatting>
  <conditionalFormatting sqref="I336 N338:O338 I338 N336:O336 K338 K336 Q336 Q338">
    <cfRule type="cellIs" priority="82" dxfId="77" operator="equal" stopIfTrue="1">
      <formula>0</formula>
    </cfRule>
  </conditionalFormatting>
  <conditionalFormatting sqref="N53:O53 Q53">
    <cfRule type="cellIs" priority="81" dxfId="77" operator="equal" stopIfTrue="1">
      <formula>0</formula>
    </cfRule>
  </conditionalFormatting>
  <conditionalFormatting sqref="Q54 O54:O60">
    <cfRule type="cellIs" priority="80" dxfId="77" operator="equal" stopIfTrue="1">
      <formula>0</formula>
    </cfRule>
  </conditionalFormatting>
  <conditionalFormatting sqref="M24:O24 K24 Q24">
    <cfRule type="cellIs" priority="79" dxfId="77" operator="equal" stopIfTrue="1">
      <formula>0</formula>
    </cfRule>
  </conditionalFormatting>
  <conditionalFormatting sqref="H27:I27 M26:O27 K26:K27 Q26:Q27">
    <cfRule type="cellIs" priority="78" dxfId="77" operator="equal" stopIfTrue="1">
      <formula>0</formula>
    </cfRule>
  </conditionalFormatting>
  <conditionalFormatting sqref="M29:O30 H30:I30 K29:K30 Q29:Q30">
    <cfRule type="cellIs" priority="77" dxfId="77" operator="equal" stopIfTrue="1">
      <formula>0</formula>
    </cfRule>
  </conditionalFormatting>
  <conditionalFormatting sqref="N34:O34 H34:I34 K34 Q34">
    <cfRule type="cellIs" priority="76" dxfId="77" operator="equal" stopIfTrue="1">
      <formula>0</formula>
    </cfRule>
  </conditionalFormatting>
  <conditionalFormatting sqref="Q45 H45:I45 K45">
    <cfRule type="cellIs" priority="75" dxfId="77" operator="equal" stopIfTrue="1">
      <formula>0</formula>
    </cfRule>
  </conditionalFormatting>
  <conditionalFormatting sqref="H51:I51 Q51 K51">
    <cfRule type="cellIs" priority="74" dxfId="77" operator="equal" stopIfTrue="1">
      <formula>0</formula>
    </cfRule>
  </conditionalFormatting>
  <conditionalFormatting sqref="Q69 K69">
    <cfRule type="cellIs" priority="72" dxfId="77" operator="equal" stopIfTrue="1">
      <formula>0</formula>
    </cfRule>
  </conditionalFormatting>
  <conditionalFormatting sqref="Q74 G74:I74 K74">
    <cfRule type="cellIs" priority="71" dxfId="77" operator="equal" stopIfTrue="1">
      <formula>0</formula>
    </cfRule>
  </conditionalFormatting>
  <conditionalFormatting sqref="M84:O84 Q84 K84">
    <cfRule type="cellIs" priority="70" dxfId="77" operator="equal" stopIfTrue="1">
      <formula>0</formula>
    </cfRule>
  </conditionalFormatting>
  <conditionalFormatting sqref="K94 Q94">
    <cfRule type="cellIs" priority="68" dxfId="77" operator="equal" stopIfTrue="1">
      <formula>0</formula>
    </cfRule>
  </conditionalFormatting>
  <conditionalFormatting sqref="M103:O103 K103 Q103">
    <cfRule type="cellIs" priority="67" dxfId="77" operator="equal" stopIfTrue="1">
      <formula>0</formula>
    </cfRule>
  </conditionalFormatting>
  <conditionalFormatting sqref="M108:O108 K108 I108 Q108">
    <cfRule type="cellIs" priority="66" dxfId="77" operator="equal" stopIfTrue="1">
      <formula>0</formula>
    </cfRule>
  </conditionalFormatting>
  <conditionalFormatting sqref="M115:O115 K115 Q115">
    <cfRule type="cellIs" priority="65" dxfId="77" operator="equal" stopIfTrue="1">
      <formula>0</formula>
    </cfRule>
  </conditionalFormatting>
  <conditionalFormatting sqref="M124:O124 K124 Q124">
    <cfRule type="cellIs" priority="64" dxfId="77" operator="equal" stopIfTrue="1">
      <formula>0</formula>
    </cfRule>
  </conditionalFormatting>
  <conditionalFormatting sqref="M127:O127 K127 H127:I127 Q127">
    <cfRule type="cellIs" priority="63" dxfId="77" operator="equal" stopIfTrue="1">
      <formula>0</formula>
    </cfRule>
  </conditionalFormatting>
  <conditionalFormatting sqref="H166:I166 O166 K166 Q166">
    <cfRule type="cellIs" priority="52" dxfId="77" operator="equal" stopIfTrue="1">
      <formula>0</formula>
    </cfRule>
  </conditionalFormatting>
  <conditionalFormatting sqref="M129:O129 K129 Q129">
    <cfRule type="cellIs" priority="62" dxfId="77" operator="equal" stopIfTrue="1">
      <formula>0</formula>
    </cfRule>
  </conditionalFormatting>
  <conditionalFormatting sqref="M132:O132 K132 H132:I132 Q132">
    <cfRule type="cellIs" priority="61" dxfId="77" operator="equal" stopIfTrue="1">
      <formula>0</formula>
    </cfRule>
  </conditionalFormatting>
  <conditionalFormatting sqref="O136 K136 Q136">
    <cfRule type="cellIs" priority="60" dxfId="77" operator="equal" stopIfTrue="1">
      <formula>0</formula>
    </cfRule>
  </conditionalFormatting>
  <conditionalFormatting sqref="H151:I151 M151:O151 K151 Q151">
    <cfRule type="cellIs" priority="55" dxfId="77" operator="equal" stopIfTrue="1">
      <formula>0</formula>
    </cfRule>
  </conditionalFormatting>
  <conditionalFormatting sqref="M157:O157 K157 Q157">
    <cfRule type="cellIs" priority="54" dxfId="77" operator="equal" stopIfTrue="1">
      <formula>0</formula>
    </cfRule>
  </conditionalFormatting>
  <conditionalFormatting sqref="I161 M161:O161 K161 Q161">
    <cfRule type="cellIs" priority="53" dxfId="77" operator="equal" stopIfTrue="1">
      <formula>0</formula>
    </cfRule>
  </conditionalFormatting>
  <conditionalFormatting sqref="H148:I148 M148:O148 K148 Q148">
    <cfRule type="cellIs" priority="59" dxfId="77" operator="equal" stopIfTrue="1">
      <formula>0</formula>
    </cfRule>
  </conditionalFormatting>
  <conditionalFormatting sqref="M140:O140 K140 Q140">
    <cfRule type="cellIs" priority="58" dxfId="77" operator="equal" stopIfTrue="1">
      <formula>0</formula>
    </cfRule>
  </conditionalFormatting>
  <conditionalFormatting sqref="H144:I144 M144:O144 K144 Q144">
    <cfRule type="cellIs" priority="56" dxfId="77" operator="equal" stopIfTrue="1">
      <formula>0</formula>
    </cfRule>
  </conditionalFormatting>
  <conditionalFormatting sqref="H178:I178 M178:O178 K177:K178 Q177:Q178">
    <cfRule type="cellIs" priority="49" dxfId="77" operator="equal" stopIfTrue="1">
      <formula>0</formula>
    </cfRule>
  </conditionalFormatting>
  <conditionalFormatting sqref="H32:I32 K32">
    <cfRule type="cellIs" priority="48" dxfId="77" operator="equal" stopIfTrue="1">
      <formula>0</formula>
    </cfRule>
  </conditionalFormatting>
  <conditionalFormatting sqref="G19:I19 K19:O19 Q19">
    <cfRule type="cellIs" priority="47" dxfId="77" operator="equal" stopIfTrue="1">
      <formula>0</formula>
    </cfRule>
  </conditionalFormatting>
  <conditionalFormatting sqref="G29:G30 H29:I29">
    <cfRule type="cellIs" priority="46" dxfId="77" operator="equal" stopIfTrue="1">
      <formula>0</formula>
    </cfRule>
  </conditionalFormatting>
  <conditionalFormatting sqref="G32">
    <cfRule type="cellIs" priority="45" dxfId="77" operator="equal" stopIfTrue="1">
      <formula>0</formula>
    </cfRule>
  </conditionalFormatting>
  <conditionalFormatting sqref="L29:L30">
    <cfRule type="cellIs" priority="44" dxfId="77" operator="equal" stopIfTrue="1">
      <formula>0</formula>
    </cfRule>
  </conditionalFormatting>
  <conditionalFormatting sqref="L32:O32">
    <cfRule type="cellIs" priority="43" dxfId="77" operator="equal" stopIfTrue="1">
      <formula>0</formula>
    </cfRule>
  </conditionalFormatting>
  <conditionalFormatting sqref="G45">
    <cfRule type="cellIs" priority="42" dxfId="77" operator="equal" stopIfTrue="1">
      <formula>0</formula>
    </cfRule>
  </conditionalFormatting>
  <conditionalFormatting sqref="G51">
    <cfRule type="cellIs" priority="41" dxfId="77" operator="equal" stopIfTrue="1">
      <formula>0</formula>
    </cfRule>
  </conditionalFormatting>
  <conditionalFormatting sqref="G69:I69">
    <cfRule type="cellIs" priority="40" dxfId="77" operator="equal" stopIfTrue="1">
      <formula>0</formula>
    </cfRule>
  </conditionalFormatting>
  <conditionalFormatting sqref="L45:O45">
    <cfRule type="cellIs" priority="39" dxfId="77" operator="equal" stopIfTrue="1">
      <formula>0</formula>
    </cfRule>
  </conditionalFormatting>
  <conditionalFormatting sqref="L51:O51">
    <cfRule type="cellIs" priority="38" dxfId="77" operator="equal" stopIfTrue="1">
      <formula>0</formula>
    </cfRule>
  </conditionalFormatting>
  <conditionalFormatting sqref="L69:O69">
    <cfRule type="cellIs" priority="37" dxfId="77" operator="equal" stopIfTrue="1">
      <formula>0</formula>
    </cfRule>
  </conditionalFormatting>
  <conditionalFormatting sqref="L74:O74">
    <cfRule type="cellIs" priority="36" dxfId="77" operator="equal" stopIfTrue="1">
      <formula>0</formula>
    </cfRule>
  </conditionalFormatting>
  <conditionalFormatting sqref="G94:I94">
    <cfRule type="cellIs" priority="35" dxfId="77" operator="equal" stopIfTrue="1">
      <formula>0</formula>
    </cfRule>
  </conditionalFormatting>
  <conditionalFormatting sqref="Q101:Q102 G101:I103 K101:O102">
    <cfRule type="cellIs" priority="34" dxfId="77" operator="equal" stopIfTrue="1">
      <formula>0</formula>
    </cfRule>
  </conditionalFormatting>
  <conditionalFormatting sqref="G108:H108">
    <cfRule type="cellIs" priority="33" dxfId="77" operator="equal" stopIfTrue="1">
      <formula>0</formula>
    </cfRule>
  </conditionalFormatting>
  <conditionalFormatting sqref="G115:I115">
    <cfRule type="cellIs" priority="32" dxfId="77" operator="equal" stopIfTrue="1">
      <formula>0</formula>
    </cfRule>
  </conditionalFormatting>
  <conditionalFormatting sqref="G124:I124">
    <cfRule type="cellIs" priority="31" dxfId="77" operator="equal" stopIfTrue="1">
      <formula>0</formula>
    </cfRule>
  </conditionalFormatting>
  <conditionalFormatting sqref="G127">
    <cfRule type="cellIs" priority="30" dxfId="77" operator="equal" stopIfTrue="1">
      <formula>0</formula>
    </cfRule>
  </conditionalFormatting>
  <conditionalFormatting sqref="G129:I129">
    <cfRule type="cellIs" priority="29" dxfId="77" operator="equal" stopIfTrue="1">
      <formula>0</formula>
    </cfRule>
  </conditionalFormatting>
  <conditionalFormatting sqref="G132">
    <cfRule type="cellIs" priority="28" dxfId="77" operator="equal" stopIfTrue="1">
      <formula>0</formula>
    </cfRule>
  </conditionalFormatting>
  <conditionalFormatting sqref="G136:I136">
    <cfRule type="cellIs" priority="27" dxfId="77" operator="equal" stopIfTrue="1">
      <formula>0</formula>
    </cfRule>
  </conditionalFormatting>
  <conditionalFormatting sqref="G140:I140">
    <cfRule type="cellIs" priority="26" dxfId="77" operator="equal" stopIfTrue="1">
      <formula>0</formula>
    </cfRule>
  </conditionalFormatting>
  <conditionalFormatting sqref="G144">
    <cfRule type="cellIs" priority="25" dxfId="77" operator="equal" stopIfTrue="1">
      <formula>0</formula>
    </cfRule>
  </conditionalFormatting>
  <conditionalFormatting sqref="G148">
    <cfRule type="cellIs" priority="24" dxfId="77" operator="equal" stopIfTrue="1">
      <formula>0</formula>
    </cfRule>
  </conditionalFormatting>
  <conditionalFormatting sqref="G151">
    <cfRule type="cellIs" priority="23" dxfId="77" operator="equal" stopIfTrue="1">
      <formula>0</formula>
    </cfRule>
  </conditionalFormatting>
  <conditionalFormatting sqref="G157:I157">
    <cfRule type="cellIs" priority="22" dxfId="77" operator="equal" stopIfTrue="1">
      <formula>0</formula>
    </cfRule>
  </conditionalFormatting>
  <conditionalFormatting sqref="G161:H161">
    <cfRule type="cellIs" priority="21" dxfId="77" operator="equal" stopIfTrue="1">
      <formula>0</formula>
    </cfRule>
  </conditionalFormatting>
  <conditionalFormatting sqref="G166">
    <cfRule type="cellIs" priority="20" dxfId="77" operator="equal" stopIfTrue="1">
      <formula>0</formula>
    </cfRule>
  </conditionalFormatting>
  <conditionalFormatting sqref="L103">
    <cfRule type="cellIs" priority="18" dxfId="77" operator="equal" stopIfTrue="1">
      <formula>0</formula>
    </cfRule>
  </conditionalFormatting>
  <conditionalFormatting sqref="L108">
    <cfRule type="cellIs" priority="17" dxfId="77" operator="equal" stopIfTrue="1">
      <formula>0</formula>
    </cfRule>
  </conditionalFormatting>
  <conditionalFormatting sqref="L115">
    <cfRule type="cellIs" priority="16" dxfId="77" operator="equal" stopIfTrue="1">
      <formula>0</formula>
    </cfRule>
  </conditionalFormatting>
  <conditionalFormatting sqref="L124">
    <cfRule type="cellIs" priority="15" dxfId="77" operator="equal" stopIfTrue="1">
      <formula>0</formula>
    </cfRule>
  </conditionalFormatting>
  <conditionalFormatting sqref="L127">
    <cfRule type="cellIs" priority="14" dxfId="77" operator="equal" stopIfTrue="1">
      <formula>0</formula>
    </cfRule>
  </conditionalFormatting>
  <conditionalFormatting sqref="L129">
    <cfRule type="cellIs" priority="13" dxfId="77" operator="equal" stopIfTrue="1">
      <formula>0</formula>
    </cfRule>
  </conditionalFormatting>
  <conditionalFormatting sqref="L132">
    <cfRule type="cellIs" priority="12" dxfId="77" operator="equal" stopIfTrue="1">
      <formula>0</formula>
    </cfRule>
  </conditionalFormatting>
  <conditionalFormatting sqref="L140">
    <cfRule type="cellIs" priority="11" dxfId="77" operator="equal" stopIfTrue="1">
      <formula>0</formula>
    </cfRule>
  </conditionalFormatting>
  <conditionalFormatting sqref="L144">
    <cfRule type="cellIs" priority="10" dxfId="77" operator="equal" stopIfTrue="1">
      <formula>0</formula>
    </cfRule>
  </conditionalFormatting>
  <conditionalFormatting sqref="L148">
    <cfRule type="cellIs" priority="9" dxfId="77" operator="equal" stopIfTrue="1">
      <formula>0</formula>
    </cfRule>
  </conditionalFormatting>
  <conditionalFormatting sqref="L151">
    <cfRule type="cellIs" priority="8" dxfId="77" operator="equal" stopIfTrue="1">
      <formula>0</formula>
    </cfRule>
  </conditionalFormatting>
  <conditionalFormatting sqref="L157">
    <cfRule type="cellIs" priority="7" dxfId="77" operator="equal" stopIfTrue="1">
      <formula>0</formula>
    </cfRule>
  </conditionalFormatting>
  <conditionalFormatting sqref="L161">
    <cfRule type="cellIs" priority="6" dxfId="77" operator="equal" stopIfTrue="1">
      <formula>0</formula>
    </cfRule>
  </conditionalFormatting>
  <conditionalFormatting sqref="L166:N166">
    <cfRule type="cellIs" priority="5" dxfId="77" operator="equal" stopIfTrue="1">
      <formula>0</formula>
    </cfRule>
  </conditionalFormatting>
  <conditionalFormatting sqref="L349">
    <cfRule type="cellIs" priority="2" dxfId="77" operator="equal" stopIfTrue="1">
      <formula>0</formula>
    </cfRule>
  </conditionalFormatting>
  <conditionalFormatting sqref="L94:O94">
    <cfRule type="cellIs" priority="1" dxfId="77" operator="equal" stopIfTrue="1">
      <formula>0</formula>
    </cfRule>
  </conditionalFormatting>
  <printOptions horizontalCentered="1"/>
  <pageMargins left="0.11811023622047245" right="0.11811023622047245" top="1.5748031496062993" bottom="0.3937007874015748" header="0.5118110236220472" footer="0"/>
  <pageSetup blackAndWhite="1" fitToHeight="17" fitToWidth="1" horizontalDpi="600" verticalDpi="600" orientation="landscape" paperSize="9" scale="52" r:id="rId1"/>
  <headerFooter differentFirst="1" alignWithMargins="0">
    <oddFooter>&amp;C&amp;P</oddFooter>
  </headerFooter>
  <rowBreaks count="3" manualBreakCount="3">
    <brk id="182" min="2" max="21" man="1"/>
    <brk id="251" min="2" max="21" man="1"/>
    <brk id="324" min="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Olga</cp:lastModifiedBy>
  <cp:lastPrinted>2021-02-12T11:15:06Z</cp:lastPrinted>
  <dcterms:created xsi:type="dcterms:W3CDTF">2002-12-16T07:25:53Z</dcterms:created>
  <dcterms:modified xsi:type="dcterms:W3CDTF">2021-02-12T11:34:59Z</dcterms:modified>
  <cp:category/>
  <cp:version/>
  <cp:contentType/>
  <cp:contentStatus/>
</cp:coreProperties>
</file>